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fsk\vdi\Folders\SuchkovAN\Desktop\КАЛЬКУЛЯТОРЫ\"/>
    </mc:Choice>
  </mc:AlternateContent>
  <xr:revisionPtr revIDLastSave="0" documentId="13_ncr:1_{7C6B6C16-FA2F-49F2-8707-435B9DF597DF}" xr6:coauthVersionLast="47" xr6:coauthVersionMax="47" xr10:uidLastSave="{00000000-0000-0000-0000-000000000000}"/>
  <workbookProtection workbookAlgorithmName="SHA-512" workbookHashValue="PrXgWDatDcqM9nRIdWvInq593an0KubOuT19EaSL5u4a+PwGCdxNqR6muhuLV+KIXlfax6tHoJh8MQiO66O1aw==" workbookSaltValue="kM1v8RKrkYB5gZIV7NxLdQ==" workbookSpinCount="100000" lockStructure="1"/>
  <bookViews>
    <workbookView xWindow="-120" yWindow="-120" windowWidth="29040" windowHeight="15840" firstSheet="2" activeTab="2" xr2:uid="{00000000-000D-0000-FFFF-FFFF00000000}"/>
  </bookViews>
  <sheets>
    <sheet name="КэшБэк ГК ФСК (с НДФЛ) (2)" sheetId="8" state="hidden" r:id="rId1"/>
    <sheet name="КэшБэк ГК ФСК (с НДФЛ)" sheetId="6" state="hidden" r:id="rId2"/>
    <sheet name="Основной лист заполнения данных" sheetId="12" r:id="rId3"/>
    <sheet name="Итоговый расчет" sheetId="10" r:id="rId4"/>
    <sheet name="Субсидирование" sheetId="16" state="hidden" r:id="rId5"/>
    <sheet name="Субсидирование (Кэшбэк 2.0)" sheetId="17" state="hidden" r:id="rId6"/>
    <sheet name="Без первого взноса (в1 ПВ 0%)" sheetId="9" state="hidden" r:id="rId7"/>
    <sheet name="Справочник" sheetId="11" state="hidden" r:id="rId8"/>
    <sheet name="Объекты и наценки" sheetId="14" state="hidden" r:id="rId9"/>
    <sheet name="Логика расчета" sheetId="15" state="hidden" r:id="rId10"/>
    <sheet name="КэшБэк ГК ФСК (без НДФЛ)" sheetId="5" state="hidden" r:id="rId11"/>
    <sheet name="КэшБэк Нмаркет" sheetId="2" state="hidden" r:id="rId12"/>
    <sheet name="КэшБэк Акбарс" sheetId="7" state="hidden" r:id="rId13"/>
    <sheet name="Сравнительные программы" sheetId="4" state="hidden" r:id="rId14"/>
    <sheet name="Sheet1" sheetId="1" state="hidden" r:id="rId15"/>
    <sheet name="ВТБ" sheetId="3" state="hidden" r:id="rId16"/>
  </sheets>
  <definedNames>
    <definedName name="_xlnm._FilterDatabase" localSheetId="8" hidden="1">'Объекты и наценки'!#REF!</definedName>
    <definedName name="Z_99088C6C_48B6_4AD1_A41F_DC688004127E_.wvu.Cols" localSheetId="3" hidden="1">'Итоговый расчет'!$IG:$IG,'Итоговый расчет'!$SC:$SC,'Итоговый расчет'!$ABY:$ABY,'Итоговый расчет'!$ALU:$ALU,'Итоговый расчет'!$AVQ:$AVQ,'Итоговый расчет'!$BFM:$BFM,'Итоговый расчет'!$BPI:$BPI,'Итоговый расчет'!$BZE:$BZE,'Итоговый расчет'!$CJA:$CJA,'Итоговый расчет'!$CSW:$CSW,'Итоговый расчет'!$DCS:$DCS,'Итоговый расчет'!$DMO:$DMO,'Итоговый расчет'!$DWK:$DWK,'Итоговый расчет'!$EGG:$EGG,'Итоговый расчет'!$EQC:$EQC,'Итоговый расчет'!$EZY:$EZY,'Итоговый расчет'!$FJU:$FJU,'Итоговый расчет'!$FTQ:$FTQ,'Итоговый расчет'!$GDM:$GDM,'Итоговый расчет'!$GNI:$GNI,'Итоговый расчет'!$GXE:$GXE,'Итоговый расчет'!$HHA:$HHA,'Итоговый расчет'!$HQW:$HQW,'Итоговый расчет'!$IAS:$IAS,'Итоговый расчет'!$IKO:$IKO,'Итоговый расчет'!$IUK:$IUK,'Итоговый расчет'!$JEG:$JEG,'Итоговый расчет'!$JOC:$JOC,'Итоговый расчет'!$JXY:$JXY,'Итоговый расчет'!$KHU:$KHU,'Итоговый расчет'!$KRQ:$KRQ,'Итоговый расчет'!$LBM:$LBM,'Итоговый расчет'!$LLI:$LLI,'Итоговый расчет'!$LVE:$LVE,'Итоговый расчет'!$MFA:$MFA,'Итоговый расчет'!$MOW:$MOW,'Итоговый расчет'!$MYS:$MYS,'Итоговый расчет'!$NIO:$NIO,'Итоговый расчет'!$NSK:$NSK,'Итоговый расчет'!$OCG:$OCG,'Итоговый расчет'!$OMC:$OMC,'Итоговый расчет'!$OVY:$OVY,'Итоговый расчет'!$PFU:$PFU,'Итоговый расчет'!$PPQ:$PPQ,'Итоговый расчет'!$PZM:$PZM,'Итоговый расчет'!$QJI:$QJI,'Итоговый расчет'!$QTE:$QTE,'Итоговый расчет'!$RDA:$RDA,'Итоговый расчет'!$RMW:$RMW,'Итоговый расчет'!$RWS:$RWS,'Итоговый расчет'!$SGO:$SGO,'Итоговый расчет'!$SQK:$SQK,'Итоговый расчет'!$TAG:$TAG,'Итоговый расчет'!$TKC:$TKC,'Итоговый расчет'!$TTY:$TTY,'Итоговый расчет'!$UDU:$UDU,'Итоговый расчет'!$UNQ:$UNQ,'Итоговый расчет'!$UXM:$UXM,'Итоговый расчет'!$VHI:$VHI,'Итоговый расчет'!$VRE:$VRE,'Итоговый расчет'!$WBA:$WBA,'Итоговый расчет'!$WKW:$WKW,'Итоговый расчет'!$WUS:$WUS</definedName>
    <definedName name="Z_99088C6C_48B6_4AD1_A41F_DC688004127E_.wvu.PrintArea" localSheetId="3" hidden="1">'Итоговый расчет'!$A$1:$K$511</definedName>
    <definedName name="Z_99088C6C_48B6_4AD1_A41F_DC688004127E_.wvu.Rows" localSheetId="3" hidden="1">'Итоговый расчет'!$1:$7,'Итоговый расчет'!$14:$14,'Итоговый расчет'!$32:$37,'Итоговый расчет'!#REF!,'Итоговый расчет'!$48:$52,'Итоговый расчет'!$56:$77</definedName>
    <definedName name="_xlnm.Print_Area" localSheetId="3">'Итоговый расчет'!$A$1:$K$511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6" l="1"/>
  <c r="L21" i="16"/>
  <c r="B64" i="10"/>
  <c r="B62" i="10"/>
  <c r="B20" i="17" l="1"/>
  <c r="C20" i="17"/>
  <c r="D20" i="17"/>
  <c r="C12" i="16"/>
  <c r="C29" i="12" l="1"/>
  <c r="C35" i="12" l="1"/>
  <c r="B18" i="17"/>
  <c r="E24" i="10" l="1"/>
  <c r="F17" i="12" l="1"/>
  <c r="E17" i="12"/>
  <c r="D17" i="12" l="1"/>
  <c r="E5" i="12"/>
  <c r="D20" i="12" s="1"/>
  <c r="D18" i="12" l="1"/>
  <c r="D30" i="12"/>
  <c r="C14" i="17"/>
  <c r="B14" i="17"/>
  <c r="C44" i="12"/>
  <c r="A10" i="16"/>
  <c r="A9" i="16"/>
  <c r="A8" i="16"/>
  <c r="K12" i="16"/>
  <c r="K13" i="16"/>
  <c r="K14" i="16"/>
  <c r="B17" i="17" l="1"/>
  <c r="A23" i="16"/>
  <c r="D67" i="12" l="1"/>
  <c r="B21" i="17"/>
  <c r="C21" i="17"/>
  <c r="D21" i="17"/>
  <c r="B19" i="17"/>
  <c r="B16" i="17"/>
  <c r="B15" i="17"/>
  <c r="D14" i="17"/>
  <c r="C15" i="17"/>
  <c r="D15" i="17"/>
  <c r="C16" i="17"/>
  <c r="D16" i="17"/>
  <c r="C17" i="17"/>
  <c r="D17" i="17"/>
  <c r="C18" i="17"/>
  <c r="D18" i="17"/>
  <c r="C19" i="17"/>
  <c r="D19" i="17"/>
  <c r="C45" i="12"/>
  <c r="C31" i="12"/>
  <c r="C34" i="12"/>
  <c r="C30" i="12"/>
  <c r="D29" i="12"/>
  <c r="A36" i="16" l="1"/>
  <c r="E4" i="12" l="1"/>
  <c r="L9" i="16" s="1"/>
  <c r="A29" i="17"/>
  <c r="A28" i="17"/>
  <c r="A27" i="17"/>
  <c r="A16" i="17"/>
  <c r="A15" i="17"/>
  <c r="A14" i="17"/>
  <c r="L7" i="16" l="1"/>
  <c r="L3" i="16"/>
  <c r="L4" i="16"/>
  <c r="L6" i="16"/>
  <c r="L5" i="16"/>
  <c r="L10" i="16"/>
  <c r="L11" i="16"/>
  <c r="L8" i="16"/>
  <c r="D17" i="5" l="1"/>
  <c r="Q21" i="16"/>
  <c r="B12" i="16" s="1"/>
  <c r="S25" i="16"/>
  <c r="R25" i="16"/>
  <c r="Q25" i="16"/>
  <c r="S24" i="16"/>
  <c r="N24" i="16" s="1"/>
  <c r="R24" i="16"/>
  <c r="M24" i="16" s="1"/>
  <c r="Q24" i="16"/>
  <c r="L24" i="16" s="1"/>
  <c r="S23" i="16"/>
  <c r="N23" i="16" s="1"/>
  <c r="R23" i="16"/>
  <c r="M23" i="16" s="1"/>
  <c r="Q23" i="16"/>
  <c r="S22" i="16"/>
  <c r="N22" i="16" s="1"/>
  <c r="R22" i="16"/>
  <c r="M22" i="16" s="1"/>
  <c r="Q22" i="16"/>
  <c r="L22" i="16" s="1"/>
  <c r="S21" i="16"/>
  <c r="N21" i="16" s="1"/>
  <c r="R21" i="16"/>
  <c r="M21" i="16" s="1"/>
  <c r="T20" i="16"/>
  <c r="S20" i="16"/>
  <c r="R20" i="16"/>
  <c r="Q20" i="16"/>
  <c r="C13" i="16" l="1"/>
  <c r="D12" i="16"/>
  <c r="D13" i="16"/>
  <c r="D14" i="16"/>
  <c r="D15" i="16"/>
  <c r="B13" i="16"/>
  <c r="M20" i="16"/>
  <c r="N20" i="16"/>
  <c r="O20" i="16"/>
  <c r="L20" i="16"/>
  <c r="K15" i="16"/>
  <c r="K16" i="16"/>
  <c r="D22" i="12"/>
  <c r="C14" i="16" l="1"/>
  <c r="B14" i="16"/>
  <c r="D31" i="12" s="1"/>
  <c r="D60" i="12"/>
  <c r="A13" i="16"/>
  <c r="A14" i="16"/>
  <c r="A15" i="16"/>
  <c r="A16" i="16"/>
  <c r="A22" i="16"/>
  <c r="A24" i="16"/>
  <c r="A25" i="16"/>
  <c r="C15" i="16" l="1"/>
  <c r="B15" i="16"/>
  <c r="A21" i="16"/>
  <c r="A12" i="16"/>
  <c r="D14" i="12"/>
  <c r="E23" i="10" s="1"/>
  <c r="C29" i="10" s="1"/>
  <c r="F31" i="12" l="1"/>
  <c r="E32" i="12"/>
  <c r="F28" i="12"/>
  <c r="D28" i="12" s="1"/>
  <c r="D34" i="12" s="1"/>
  <c r="D12" i="15"/>
  <c r="D38" i="12" l="1"/>
  <c r="D44" i="12" s="1"/>
  <c r="D33" i="12"/>
  <c r="E20" i="10"/>
  <c r="E31" i="10"/>
  <c r="G16" i="10"/>
  <c r="E26" i="10"/>
  <c r="E22" i="10"/>
  <c r="E21" i="10"/>
  <c r="D35" i="12" l="1"/>
  <c r="D37" i="12"/>
  <c r="D58" i="12" s="1"/>
  <c r="G47" i="12"/>
  <c r="D41" i="12"/>
  <c r="D62" i="10" s="1"/>
  <c r="D40" i="12"/>
  <c r="F40" i="12" s="1"/>
  <c r="E28" i="10"/>
  <c r="F24" i="10" s="1"/>
  <c r="D46" i="12"/>
  <c r="D32" i="12"/>
  <c r="D23" i="12"/>
  <c r="D26" i="12"/>
  <c r="D13" i="9"/>
  <c r="H86" i="10"/>
  <c r="E38" i="10"/>
  <c r="D72" i="12" l="1"/>
  <c r="D45" i="12"/>
  <c r="F44" i="12"/>
  <c r="F43" i="12" s="1"/>
  <c r="F46" i="12"/>
  <c r="D39" i="12"/>
  <c r="D55" i="12"/>
  <c r="D56" i="12" s="1"/>
  <c r="D27" i="12"/>
  <c r="K28" i="10"/>
  <c r="K38" i="10"/>
  <c r="D20" i="9"/>
  <c r="D22" i="9" s="1"/>
  <c r="D64" i="12" l="1"/>
  <c r="D65" i="12" s="1"/>
  <c r="D42" i="12"/>
  <c r="G41" i="12"/>
  <c r="G42" i="12" s="1"/>
  <c r="F39" i="12"/>
  <c r="D48" i="12"/>
  <c r="D49" i="12" s="1"/>
  <c r="K51" i="10"/>
  <c r="D23" i="9"/>
  <c r="G38" i="10"/>
  <c r="I508" i="10"/>
  <c r="I504" i="10"/>
  <c r="F504" i="10" s="1"/>
  <c r="I500" i="10"/>
  <c r="F500" i="10" s="1"/>
  <c r="I496" i="10"/>
  <c r="F496" i="10" s="1"/>
  <c r="I492" i="10"/>
  <c r="F492" i="10" s="1"/>
  <c r="I488" i="10"/>
  <c r="F488" i="10" s="1"/>
  <c r="I484" i="10"/>
  <c r="F484" i="10" s="1"/>
  <c r="I480" i="10"/>
  <c r="F480" i="10" s="1"/>
  <c r="I476" i="10"/>
  <c r="F476" i="10" s="1"/>
  <c r="I472" i="10"/>
  <c r="F472" i="10" s="1"/>
  <c r="I468" i="10"/>
  <c r="F468" i="10" s="1"/>
  <c r="I464" i="10"/>
  <c r="F464" i="10" s="1"/>
  <c r="I460" i="10"/>
  <c r="F460" i="10" s="1"/>
  <c r="I456" i="10"/>
  <c r="F456" i="10" s="1"/>
  <c r="I452" i="10"/>
  <c r="F452" i="10" s="1"/>
  <c r="I506" i="10"/>
  <c r="F506" i="10" s="1"/>
  <c r="I502" i="10"/>
  <c r="F502" i="10" s="1"/>
  <c r="I498" i="10"/>
  <c r="F498" i="10" s="1"/>
  <c r="I494" i="10"/>
  <c r="F494" i="10" s="1"/>
  <c r="I490" i="10"/>
  <c r="F490" i="10" s="1"/>
  <c r="I486" i="10"/>
  <c r="F486" i="10" s="1"/>
  <c r="I482" i="10"/>
  <c r="F482" i="10" s="1"/>
  <c r="I478" i="10"/>
  <c r="F478" i="10" s="1"/>
  <c r="I474" i="10"/>
  <c r="F474" i="10" s="1"/>
  <c r="I470" i="10"/>
  <c r="F470" i="10" s="1"/>
  <c r="I466" i="10"/>
  <c r="F466" i="10" s="1"/>
  <c r="I462" i="10"/>
  <c r="F462" i="10" s="1"/>
  <c r="I458" i="10"/>
  <c r="F458" i="10" s="1"/>
  <c r="I454" i="10"/>
  <c r="F454" i="10" s="1"/>
  <c r="I450" i="10"/>
  <c r="F450" i="10" s="1"/>
  <c r="I503" i="10"/>
  <c r="F503" i="10" s="1"/>
  <c r="I495" i="10"/>
  <c r="F495" i="10" s="1"/>
  <c r="I487" i="10"/>
  <c r="F487" i="10" s="1"/>
  <c r="I479" i="10"/>
  <c r="F479" i="10" s="1"/>
  <c r="I471" i="10"/>
  <c r="F471" i="10" s="1"/>
  <c r="I463" i="10"/>
  <c r="F463" i="10" s="1"/>
  <c r="I455" i="10"/>
  <c r="F455" i="10" s="1"/>
  <c r="I501" i="10"/>
  <c r="F501" i="10" s="1"/>
  <c r="I493" i="10"/>
  <c r="F493" i="10" s="1"/>
  <c r="I485" i="10"/>
  <c r="F485" i="10" s="1"/>
  <c r="I477" i="10"/>
  <c r="F477" i="10" s="1"/>
  <c r="I469" i="10"/>
  <c r="F469" i="10" s="1"/>
  <c r="I461" i="10"/>
  <c r="F461" i="10" s="1"/>
  <c r="I453" i="10"/>
  <c r="F453" i="10" s="1"/>
  <c r="I507" i="10"/>
  <c r="F507" i="10" s="1"/>
  <c r="I499" i="10"/>
  <c r="F499" i="10" s="1"/>
  <c r="I491" i="10"/>
  <c r="F491" i="10" s="1"/>
  <c r="I483" i="10"/>
  <c r="F483" i="10" s="1"/>
  <c r="I475" i="10"/>
  <c r="F475" i="10" s="1"/>
  <c r="I467" i="10"/>
  <c r="F467" i="10" s="1"/>
  <c r="I459" i="10"/>
  <c r="F459" i="10" s="1"/>
  <c r="I451" i="10"/>
  <c r="F451" i="10" s="1"/>
  <c r="I505" i="10"/>
  <c r="F505" i="10" s="1"/>
  <c r="I497" i="10"/>
  <c r="F497" i="10" s="1"/>
  <c r="I489" i="10"/>
  <c r="F489" i="10" s="1"/>
  <c r="I481" i="10"/>
  <c r="F481" i="10" s="1"/>
  <c r="I473" i="10"/>
  <c r="F473" i="10" s="1"/>
  <c r="I465" i="10"/>
  <c r="F465" i="10" s="1"/>
  <c r="I457" i="10"/>
  <c r="F457" i="10" s="1"/>
  <c r="I449" i="10"/>
  <c r="F449" i="10" s="1"/>
  <c r="G26" i="10"/>
  <c r="D17" i="9"/>
  <c r="D18" i="9" s="1"/>
  <c r="H14" i="9"/>
  <c r="H13" i="9"/>
  <c r="H5" i="9" s="1"/>
  <c r="D33" i="9"/>
  <c r="D34" i="9" s="1"/>
  <c r="D16" i="8"/>
  <c r="F6" i="6"/>
  <c r="D15" i="8"/>
  <c r="D7" i="6"/>
  <c r="D12" i="6" s="1"/>
  <c r="M6" i="4"/>
  <c r="M4" i="4"/>
  <c r="M11" i="4"/>
  <c r="G508" i="10" l="1"/>
  <c r="F508" i="10"/>
  <c r="D43" i="12"/>
  <c r="D52" i="12" s="1"/>
  <c r="F38" i="12"/>
  <c r="D54" i="12"/>
  <c r="D61" i="12"/>
  <c r="D73" i="12" s="1"/>
  <c r="D74" i="12" s="1"/>
  <c r="I21" i="12"/>
  <c r="I20" i="12"/>
  <c r="I6" i="12" s="1"/>
  <c r="K52" i="10"/>
  <c r="K39" i="10"/>
  <c r="K42" i="10" s="1"/>
  <c r="G28" i="10"/>
  <c r="G481" i="10"/>
  <c r="G499" i="10"/>
  <c r="G463" i="10"/>
  <c r="G482" i="10"/>
  <c r="G464" i="10"/>
  <c r="F38" i="10"/>
  <c r="F28" i="10"/>
  <c r="I38" i="10"/>
  <c r="I28" i="10"/>
  <c r="G457" i="10"/>
  <c r="G489" i="10"/>
  <c r="G475" i="10"/>
  <c r="G507" i="10"/>
  <c r="G477" i="10"/>
  <c r="G471" i="10"/>
  <c r="G503" i="10"/>
  <c r="G454" i="10"/>
  <c r="G470" i="10"/>
  <c r="G486" i="10"/>
  <c r="G502" i="10"/>
  <c r="G452" i="10"/>
  <c r="G468" i="10"/>
  <c r="G484" i="10"/>
  <c r="G500" i="10"/>
  <c r="H38" i="10"/>
  <c r="H28" i="10"/>
  <c r="J38" i="10"/>
  <c r="J28" i="10"/>
  <c r="J39" i="10" s="1"/>
  <c r="J42" i="10" s="1"/>
  <c r="G449" i="10"/>
  <c r="G467" i="10"/>
  <c r="G469" i="10"/>
  <c r="G501" i="10"/>
  <c r="G495" i="10"/>
  <c r="G450" i="10"/>
  <c r="G466" i="10"/>
  <c r="G498" i="10"/>
  <c r="G480" i="10"/>
  <c r="G496" i="10"/>
  <c r="G465" i="10"/>
  <c r="G497" i="10"/>
  <c r="G451" i="10"/>
  <c r="G483" i="10"/>
  <c r="G453" i="10"/>
  <c r="G485" i="10"/>
  <c r="G479" i="10"/>
  <c r="G458" i="10"/>
  <c r="G474" i="10"/>
  <c r="G490" i="10"/>
  <c r="G506" i="10"/>
  <c r="G456" i="10"/>
  <c r="G472" i="10"/>
  <c r="G488" i="10"/>
  <c r="G504" i="10"/>
  <c r="G473" i="10"/>
  <c r="G505" i="10"/>
  <c r="G459" i="10"/>
  <c r="G491" i="10"/>
  <c r="G461" i="10"/>
  <c r="G493" i="10"/>
  <c r="G455" i="10"/>
  <c r="G487" i="10"/>
  <c r="G462" i="10"/>
  <c r="G478" i="10"/>
  <c r="G494" i="10"/>
  <c r="G460" i="10"/>
  <c r="G476" i="10"/>
  <c r="G492" i="10"/>
  <c r="D27" i="9"/>
  <c r="D10" i="8"/>
  <c r="D13" i="6"/>
  <c r="D68" i="12" l="1"/>
  <c r="D69" i="12" s="1"/>
  <c r="D57" i="12"/>
  <c r="D59" i="12" s="1"/>
  <c r="D13" i="8"/>
  <c r="D14" i="8" s="1"/>
  <c r="D18" i="8"/>
  <c r="D20" i="8" s="1"/>
  <c r="E30" i="10"/>
  <c r="E39" i="10" s="1"/>
  <c r="E42" i="10" s="1"/>
  <c r="H465" i="10"/>
  <c r="H463" i="10"/>
  <c r="H460" i="10"/>
  <c r="H458" i="10"/>
  <c r="H495" i="10"/>
  <c r="H462" i="10"/>
  <c r="H498" i="10"/>
  <c r="H504" i="10"/>
  <c r="H477" i="10"/>
  <c r="H506" i="10"/>
  <c r="J51" i="10"/>
  <c r="J52" i="10"/>
  <c r="H501" i="10"/>
  <c r="H469" i="10"/>
  <c r="H503" i="10"/>
  <c r="H471" i="10"/>
  <c r="H478" i="10"/>
  <c r="H476" i="10"/>
  <c r="H483" i="10"/>
  <c r="H500" i="10"/>
  <c r="G51" i="10"/>
  <c r="G52" i="10"/>
  <c r="G39" i="10"/>
  <c r="G42" i="10" s="1"/>
  <c r="H488" i="10"/>
  <c r="H489" i="10"/>
  <c r="H457" i="10"/>
  <c r="H459" i="10"/>
  <c r="H486" i="10"/>
  <c r="H497" i="10"/>
  <c r="H499" i="10"/>
  <c r="H451" i="10"/>
  <c r="H502" i="10"/>
  <c r="H493" i="10"/>
  <c r="H461" i="10"/>
  <c r="H479" i="10"/>
  <c r="H494" i="10"/>
  <c r="H492" i="10"/>
  <c r="H480" i="10"/>
  <c r="H466" i="10"/>
  <c r="H496" i="10"/>
  <c r="H450" i="10"/>
  <c r="H472" i="10"/>
  <c r="H490" i="10"/>
  <c r="H464" i="10"/>
  <c r="H482" i="10"/>
  <c r="H491" i="10"/>
  <c r="H484" i="10"/>
  <c r="H468" i="10"/>
  <c r="H456" i="10"/>
  <c r="H474" i="10"/>
  <c r="H505" i="10"/>
  <c r="H473" i="10"/>
  <c r="H507" i="10"/>
  <c r="H475" i="10"/>
  <c r="H454" i="10"/>
  <c r="H452" i="10"/>
  <c r="H481" i="10"/>
  <c r="H467" i="10"/>
  <c r="H470" i="10"/>
  <c r="H485" i="10"/>
  <c r="H453" i="10"/>
  <c r="H487" i="10"/>
  <c r="H455" i="10"/>
  <c r="H508" i="10"/>
  <c r="D32" i="9"/>
  <c r="D35" i="9"/>
  <c r="D24" i="9"/>
  <c r="D26" i="9"/>
  <c r="D30" i="9" s="1"/>
  <c r="E23" i="9"/>
  <c r="D18" i="6"/>
  <c r="W15" i="7"/>
  <c r="G4" i="7"/>
  <c r="K4" i="7"/>
  <c r="Q4" i="7"/>
  <c r="K5" i="7"/>
  <c r="Q5" i="7"/>
  <c r="G6" i="7"/>
  <c r="K6" i="7"/>
  <c r="Q6" i="7"/>
  <c r="K7" i="7"/>
  <c r="Q7" i="7"/>
  <c r="G8" i="7"/>
  <c r="K8" i="7"/>
  <c r="Q8" i="7"/>
  <c r="G9" i="7"/>
  <c r="K9" i="7"/>
  <c r="Q9" i="7"/>
  <c r="C13" i="7"/>
  <c r="C42" i="7" s="1"/>
  <c r="C14" i="7"/>
  <c r="G18" i="7"/>
  <c r="C20" i="7"/>
  <c r="C22" i="7" s="1"/>
  <c r="G24" i="7"/>
  <c r="C32" i="7"/>
  <c r="H32" i="7"/>
  <c r="AA27" i="7"/>
  <c r="AA12" i="7"/>
  <c r="AA11" i="7"/>
  <c r="AA10" i="7"/>
  <c r="AA9" i="7"/>
  <c r="AA8" i="7"/>
  <c r="AA6" i="7"/>
  <c r="AA4" i="7"/>
  <c r="D15" i="5"/>
  <c r="D19" i="5" s="1"/>
  <c r="C32" i="4"/>
  <c r="Q27" i="4"/>
  <c r="C20" i="4"/>
  <c r="C22" i="4" s="1"/>
  <c r="M15" i="4"/>
  <c r="M16" i="4" s="1"/>
  <c r="M18" i="4" s="1"/>
  <c r="C14" i="4"/>
  <c r="C13" i="4"/>
  <c r="C42" i="4" s="1"/>
  <c r="Q12" i="4"/>
  <c r="Q11" i="4"/>
  <c r="Q10" i="4"/>
  <c r="Q9" i="4"/>
  <c r="G9" i="4"/>
  <c r="Q8" i="4"/>
  <c r="G8" i="4"/>
  <c r="G7" i="4"/>
  <c r="Q6" i="4"/>
  <c r="G6" i="4"/>
  <c r="G5" i="4"/>
  <c r="Q4" i="4"/>
  <c r="G4" i="4"/>
  <c r="C32" i="2"/>
  <c r="C14" i="2"/>
  <c r="C13" i="2"/>
  <c r="C42" i="2" s="1"/>
  <c r="C23" i="7" l="1"/>
  <c r="C26" i="7" s="1"/>
  <c r="C24" i="7"/>
  <c r="C25" i="7" s="1"/>
  <c r="D25" i="7" s="1"/>
  <c r="H37" i="7"/>
  <c r="G16" i="7"/>
  <c r="G17" i="7" s="1"/>
  <c r="G20" i="7" s="1"/>
  <c r="G22" i="7" s="1"/>
  <c r="Q17" i="7"/>
  <c r="K15" i="7"/>
  <c r="K16" i="7" s="1"/>
  <c r="D21" i="8"/>
  <c r="D22" i="8"/>
  <c r="D23" i="8" s="1"/>
  <c r="D25" i="8"/>
  <c r="M20" i="4"/>
  <c r="M21" i="4" s="1"/>
  <c r="M23" i="4" s="1"/>
  <c r="M26" i="4" s="1"/>
  <c r="M19" i="4"/>
  <c r="M22" i="4"/>
  <c r="G13" i="7"/>
  <c r="C37" i="7"/>
  <c r="C27" i="7"/>
  <c r="C33" i="7"/>
  <c r="Q15" i="7"/>
  <c r="Q16" i="7" s="1"/>
  <c r="E29" i="10"/>
  <c r="D16" i="5"/>
  <c r="D18" i="5"/>
  <c r="D25" i="9"/>
  <c r="I51" i="10"/>
  <c r="I52" i="10"/>
  <c r="I39" i="10"/>
  <c r="I42" i="10" s="1"/>
  <c r="I89" i="10"/>
  <c r="E52" i="10"/>
  <c r="E51" i="10"/>
  <c r="H52" i="10"/>
  <c r="H51" i="10"/>
  <c r="H39" i="10"/>
  <c r="H42" i="10" s="1"/>
  <c r="F51" i="10"/>
  <c r="F52" i="10"/>
  <c r="F39" i="10"/>
  <c r="F42" i="10" s="1"/>
  <c r="D42" i="8"/>
  <c r="D43" i="8" s="1"/>
  <c r="G17" i="4"/>
  <c r="G19" i="7"/>
  <c r="Q19" i="7"/>
  <c r="Q18" i="7" s="1"/>
  <c r="Q20" i="7" s="1"/>
  <c r="Q22" i="7" s="1"/>
  <c r="G14" i="7"/>
  <c r="K17" i="7"/>
  <c r="AA15" i="7"/>
  <c r="AA16" i="7" s="1"/>
  <c r="D16" i="6"/>
  <c r="D17" i="6" s="1"/>
  <c r="C27" i="4"/>
  <c r="D37" i="4"/>
  <c r="C23" i="4"/>
  <c r="C26" i="4" s="1"/>
  <c r="C37" i="4"/>
  <c r="Q15" i="4"/>
  <c r="Q16" i="4" s="1"/>
  <c r="G15" i="4"/>
  <c r="G19" i="4" s="1"/>
  <c r="G18" i="4" s="1"/>
  <c r="G20" i="4" s="1"/>
  <c r="G22" i="4" s="1"/>
  <c r="C20" i="2"/>
  <c r="C22" i="2" s="1"/>
  <c r="C37" i="2" s="1"/>
  <c r="C34" i="7" l="1"/>
  <c r="C35" i="7" s="1"/>
  <c r="C40" i="7"/>
  <c r="C38" i="7" s="1"/>
  <c r="C39" i="7" s="1"/>
  <c r="G16" i="4"/>
  <c r="G89" i="10"/>
  <c r="F89" i="10"/>
  <c r="D24" i="8"/>
  <c r="D37" i="8" s="1"/>
  <c r="Q18" i="4"/>
  <c r="Q19" i="4" s="1"/>
  <c r="C24" i="4"/>
  <c r="C25" i="4" s="1"/>
  <c r="D20" i="6"/>
  <c r="D19" i="6" s="1"/>
  <c r="Q23" i="7"/>
  <c r="Q24" i="7" s="1"/>
  <c r="Q25" i="7" s="1"/>
  <c r="Q27" i="7"/>
  <c r="Q37" i="7"/>
  <c r="Q38" i="7" s="1"/>
  <c r="G37" i="7"/>
  <c r="G38" i="7" s="1"/>
  <c r="G23" i="7"/>
  <c r="K19" i="7"/>
  <c r="K18" i="7" s="1"/>
  <c r="K20" i="7" s="1"/>
  <c r="K22" i="7" s="1"/>
  <c r="AA18" i="7"/>
  <c r="W18" i="7" s="1"/>
  <c r="W16" i="7"/>
  <c r="D20" i="5"/>
  <c r="D22" i="5" s="1"/>
  <c r="G37" i="4"/>
  <c r="G38" i="4" s="1"/>
  <c r="G23" i="4"/>
  <c r="G24" i="4" s="1"/>
  <c r="G25" i="4" s="1"/>
  <c r="G27" i="4"/>
  <c r="C40" i="4"/>
  <c r="C38" i="4" s="1"/>
  <c r="C39" i="4" s="1"/>
  <c r="C34" i="4"/>
  <c r="C33" i="4"/>
  <c r="C27" i="2"/>
  <c r="C34" i="2" s="1"/>
  <c r="C23" i="2"/>
  <c r="C26" i="2" s="1"/>
  <c r="D37" i="5" l="1"/>
  <c r="D38" i="5" s="1"/>
  <c r="C50" i="7"/>
  <c r="C44" i="7"/>
  <c r="H89" i="10"/>
  <c r="I90" i="10" s="1"/>
  <c r="F90" i="10" s="1"/>
  <c r="D23" i="5"/>
  <c r="D26" i="5" s="1"/>
  <c r="D32" i="5" s="1"/>
  <c r="D27" i="5"/>
  <c r="Q20" i="4"/>
  <c r="Q21" i="4" s="1"/>
  <c r="Q23" i="4" s="1"/>
  <c r="Q22" i="4"/>
  <c r="C35" i="4"/>
  <c r="C50" i="4" s="1"/>
  <c r="D21" i="6"/>
  <c r="K23" i="7"/>
  <c r="K24" i="7" s="1"/>
  <c r="K25" i="7" s="1"/>
  <c r="K27" i="7"/>
  <c r="K37" i="7"/>
  <c r="K38" i="7" s="1"/>
  <c r="Q29" i="7"/>
  <c r="Q28" i="7"/>
  <c r="G26" i="7"/>
  <c r="Q36" i="7"/>
  <c r="Q26" i="7"/>
  <c r="Q32" i="7" s="1"/>
  <c r="AA19" i="7"/>
  <c r="W19" i="7" s="1"/>
  <c r="AA22" i="7"/>
  <c r="W22" i="7" s="1"/>
  <c r="AA20" i="7"/>
  <c r="C44" i="4"/>
  <c r="G28" i="4"/>
  <c r="G29" i="4"/>
  <c r="G36" i="4"/>
  <c r="G26" i="4"/>
  <c r="G32" i="4" s="1"/>
  <c r="C40" i="2"/>
  <c r="C38" i="2" s="1"/>
  <c r="C33" i="2"/>
  <c r="C35" i="2" s="1"/>
  <c r="C50" i="2" s="1"/>
  <c r="D24" i="5" l="1"/>
  <c r="D36" i="5"/>
  <c r="G90" i="10"/>
  <c r="H90" i="10" s="1"/>
  <c r="I91" i="10" s="1"/>
  <c r="D29" i="5"/>
  <c r="D25" i="5"/>
  <c r="D28" i="5"/>
  <c r="D33" i="5" s="1"/>
  <c r="D34" i="5" s="1"/>
  <c r="Q25" i="4"/>
  <c r="M25" i="4"/>
  <c r="D23" i="6"/>
  <c r="D28" i="6" s="1"/>
  <c r="G32" i="7"/>
  <c r="G27" i="7"/>
  <c r="K29" i="7"/>
  <c r="K28" i="7"/>
  <c r="Q33" i="7"/>
  <c r="Q34" i="7" s="1"/>
  <c r="K36" i="7"/>
  <c r="K26" i="7"/>
  <c r="K32" i="7" s="1"/>
  <c r="AA21" i="7"/>
  <c r="W20" i="7"/>
  <c r="G33" i="4"/>
  <c r="G34" i="4" s="1"/>
  <c r="C39" i="2"/>
  <c r="C44" i="2" s="1"/>
  <c r="G91" i="10" l="1"/>
  <c r="F91" i="10"/>
  <c r="K33" i="7"/>
  <c r="K34" i="7" s="1"/>
  <c r="M41" i="4"/>
  <c r="M42" i="4" s="1"/>
  <c r="Q41" i="4"/>
  <c r="Q42" i="4" s="1"/>
  <c r="Q26" i="4"/>
  <c r="D45" i="6"/>
  <c r="D46" i="6" s="1"/>
  <c r="D24" i="6"/>
  <c r="D27" i="6" s="1"/>
  <c r="G29" i="7"/>
  <c r="G28" i="7"/>
  <c r="G33" i="7" s="1"/>
  <c r="G34" i="7" s="1"/>
  <c r="G36" i="7"/>
  <c r="W21" i="7"/>
  <c r="AA23" i="7"/>
  <c r="H91" i="10" l="1"/>
  <c r="I92" i="10" s="1"/>
  <c r="Q29" i="4"/>
  <c r="D25" i="6"/>
  <c r="D26" i="6" s="1"/>
  <c r="D40" i="6"/>
  <c r="W23" i="7"/>
  <c r="W25" i="7" s="1"/>
  <c r="AA25" i="7"/>
  <c r="F92" i="10" l="1"/>
  <c r="G92" i="10"/>
  <c r="Q36" i="4"/>
  <c r="Q30" i="4"/>
  <c r="M29" i="4"/>
  <c r="M27" i="4"/>
  <c r="M28" i="4" s="1"/>
  <c r="N28" i="4" s="1"/>
  <c r="AA26" i="7"/>
  <c r="AA41" i="7"/>
  <c r="AA42" i="7" s="1"/>
  <c r="W41" i="7"/>
  <c r="W42" i="7" s="1"/>
  <c r="H92" i="10" l="1"/>
  <c r="I93" i="10" s="1"/>
  <c r="Q33" i="4"/>
  <c r="Q40" i="4"/>
  <c r="Q32" i="4"/>
  <c r="Q31" i="4"/>
  <c r="Q37" i="4" s="1"/>
  <c r="Q38" i="4" s="1"/>
  <c r="M30" i="4"/>
  <c r="M36" i="4"/>
  <c r="W26" i="7"/>
  <c r="AA29" i="7"/>
  <c r="F93" i="10" l="1"/>
  <c r="G93" i="10"/>
  <c r="M32" i="4"/>
  <c r="M33" i="4"/>
  <c r="M31" i="4"/>
  <c r="M40" i="4"/>
  <c r="AA36" i="7"/>
  <c r="AA30" i="7"/>
  <c r="W29" i="7"/>
  <c r="W27" i="7"/>
  <c r="W28" i="7" s="1"/>
  <c r="X28" i="7" s="1"/>
  <c r="H93" i="10" l="1"/>
  <c r="I94" i="10" s="1"/>
  <c r="F94" i="10" s="1"/>
  <c r="M37" i="4"/>
  <c r="M38" i="4" s="1"/>
  <c r="W36" i="7"/>
  <c r="W30" i="7"/>
  <c r="AA32" i="7"/>
  <c r="AA31" i="7"/>
  <c r="AA37" i="7" s="1"/>
  <c r="AA38" i="7" s="1"/>
  <c r="AA33" i="7"/>
  <c r="AA40" i="7"/>
  <c r="G94" i="10" l="1"/>
  <c r="H94" i="10" s="1"/>
  <c r="I95" i="10" s="1"/>
  <c r="G95" i="10" s="1"/>
  <c r="W32" i="7"/>
  <c r="W33" i="7"/>
  <c r="W31" i="7"/>
  <c r="W44" i="7" s="1"/>
  <c r="W40" i="7"/>
  <c r="F95" i="10" l="1"/>
  <c r="H95" i="10" s="1"/>
  <c r="I96" i="10" s="1"/>
  <c r="W37" i="7"/>
  <c r="W38" i="7" s="1"/>
  <c r="F96" i="10" l="1"/>
  <c r="G96" i="10"/>
  <c r="C15" i="3"/>
  <c r="C16" i="3" s="1"/>
  <c r="C18" i="3" s="1"/>
  <c r="C19" i="3" s="1"/>
  <c r="A4" i="1"/>
  <c r="A5" i="1" s="1"/>
  <c r="E3" i="1"/>
  <c r="B3" i="1"/>
  <c r="H96" i="10" l="1"/>
  <c r="I97" i="10" s="1"/>
  <c r="C3" i="1"/>
  <c r="F3" i="1" s="1"/>
  <c r="C20" i="3"/>
  <c r="C21" i="3" s="1"/>
  <c r="C23" i="3" s="1"/>
  <c r="C22" i="3"/>
  <c r="E4" i="1"/>
  <c r="B5" i="1"/>
  <c r="A6" i="1"/>
  <c r="E5" i="1"/>
  <c r="B4" i="1"/>
  <c r="G3" i="1"/>
  <c r="H3" i="1" s="1"/>
  <c r="F97" i="10" l="1"/>
  <c r="G97" i="10"/>
  <c r="D3" i="1"/>
  <c r="C25" i="3"/>
  <c r="C31" i="3"/>
  <c r="C26" i="3"/>
  <c r="A7" i="1"/>
  <c r="B6" i="1"/>
  <c r="E6" i="1"/>
  <c r="G4" i="1"/>
  <c r="H4" i="1" s="1"/>
  <c r="C4" i="1"/>
  <c r="C5" i="1"/>
  <c r="G5" i="1"/>
  <c r="H5" i="1" s="1"/>
  <c r="H97" i="10" l="1"/>
  <c r="I98" i="10" s="1"/>
  <c r="F98" i="10" s="1"/>
  <c r="C24" i="2"/>
  <c r="C25" i="2" s="1"/>
  <c r="C35" i="3"/>
  <c r="C36" i="3" s="1"/>
  <c r="C27" i="3"/>
  <c r="C28" i="3" s="1"/>
  <c r="F5" i="1"/>
  <c r="D5" i="1"/>
  <c r="F4" i="1"/>
  <c r="D4" i="1"/>
  <c r="G6" i="1"/>
  <c r="H6" i="1" s="1"/>
  <c r="C6" i="1"/>
  <c r="E7" i="1"/>
  <c r="A8" i="1"/>
  <c r="B7" i="1"/>
  <c r="G98" i="10" l="1"/>
  <c r="H98" i="10" s="1"/>
  <c r="I99" i="10" s="1"/>
  <c r="G99" i="10" s="1"/>
  <c r="C30" i="3"/>
  <c r="C32" i="3"/>
  <c r="C34" i="3"/>
  <c r="F6" i="1"/>
  <c r="D6" i="1"/>
  <c r="G7" i="1"/>
  <c r="H7" i="1" s="1"/>
  <c r="C7" i="1"/>
  <c r="B8" i="1"/>
  <c r="E8" i="1"/>
  <c r="A9" i="1"/>
  <c r="F99" i="10" l="1"/>
  <c r="H99" i="10" s="1"/>
  <c r="I100" i="10" s="1"/>
  <c r="F7" i="1"/>
  <c r="D7" i="1"/>
  <c r="A10" i="1"/>
  <c r="B9" i="1"/>
  <c r="E9" i="1"/>
  <c r="G8" i="1"/>
  <c r="H8" i="1" s="1"/>
  <c r="C8" i="1"/>
  <c r="F100" i="10" l="1"/>
  <c r="G100" i="10"/>
  <c r="F8" i="1"/>
  <c r="D8" i="1"/>
  <c r="C9" i="1"/>
  <c r="G9" i="1"/>
  <c r="H9" i="1" s="1"/>
  <c r="A11" i="1"/>
  <c r="E10" i="1"/>
  <c r="B10" i="1"/>
  <c r="H100" i="10" l="1"/>
  <c r="I101" i="10" s="1"/>
  <c r="F101" i="10" s="1"/>
  <c r="F9" i="1"/>
  <c r="D9" i="1"/>
  <c r="C10" i="1"/>
  <c r="G10" i="1"/>
  <c r="H10" i="1" s="1"/>
  <c r="A12" i="1"/>
  <c r="B11" i="1"/>
  <c r="E11" i="1"/>
  <c r="G101" i="10" l="1"/>
  <c r="H101" i="10" s="1"/>
  <c r="I102" i="10" s="1"/>
  <c r="F102" i="10" s="1"/>
  <c r="F10" i="1"/>
  <c r="D10" i="1"/>
  <c r="A13" i="1"/>
  <c r="E12" i="1"/>
  <c r="B12" i="1"/>
  <c r="C11" i="1"/>
  <c r="G11" i="1"/>
  <c r="H11" i="1" s="1"/>
  <c r="G102" i="10" l="1"/>
  <c r="H102" i="10" s="1"/>
  <c r="I103" i="10" s="1"/>
  <c r="G103" i="10" s="1"/>
  <c r="F11" i="1"/>
  <c r="D11" i="1"/>
  <c r="C12" i="1"/>
  <c r="G12" i="1"/>
  <c r="H12" i="1" s="1"/>
  <c r="A14" i="1"/>
  <c r="E13" i="1"/>
  <c r="B13" i="1"/>
  <c r="F103" i="10" l="1"/>
  <c r="H103" i="10" s="1"/>
  <c r="I104" i="10" s="1"/>
  <c r="F12" i="1"/>
  <c r="D12" i="1"/>
  <c r="C13" i="1"/>
  <c r="G13" i="1"/>
  <c r="H13" i="1" s="1"/>
  <c r="A15" i="1"/>
  <c r="B14" i="1"/>
  <c r="E14" i="1"/>
  <c r="F104" i="10" l="1"/>
  <c r="G104" i="10"/>
  <c r="F13" i="1"/>
  <c r="D13" i="1"/>
  <c r="A16" i="1"/>
  <c r="E15" i="1"/>
  <c r="B15" i="1"/>
  <c r="G14" i="1"/>
  <c r="H14" i="1" s="1"/>
  <c r="C14" i="1"/>
  <c r="H104" i="10" l="1"/>
  <c r="I105" i="10" s="1"/>
  <c r="F14" i="1"/>
  <c r="D14" i="1"/>
  <c r="G15" i="1"/>
  <c r="H15" i="1" s="1"/>
  <c r="C15" i="1"/>
  <c r="A17" i="1"/>
  <c r="B16" i="1"/>
  <c r="E16" i="1"/>
  <c r="F105" i="10" l="1"/>
  <c r="G105" i="10"/>
  <c r="F15" i="1"/>
  <c r="D15" i="1"/>
  <c r="C16" i="1"/>
  <c r="G16" i="1"/>
  <c r="H16" i="1" s="1"/>
  <c r="A18" i="1"/>
  <c r="B17" i="1"/>
  <c r="E17" i="1"/>
  <c r="H105" i="10" l="1"/>
  <c r="I106" i="10" s="1"/>
  <c r="G106" i="10" s="1"/>
  <c r="F16" i="1"/>
  <c r="D16" i="1"/>
  <c r="C17" i="1"/>
  <c r="G17" i="1"/>
  <c r="H17" i="1" s="1"/>
  <c r="B18" i="1"/>
  <c r="E18" i="1"/>
  <c r="F106" i="10" l="1"/>
  <c r="H106" i="10" s="1"/>
  <c r="I107" i="10" s="1"/>
  <c r="F17" i="1"/>
  <c r="D17" i="1"/>
  <c r="C18" i="1"/>
  <c r="G18" i="1"/>
  <c r="H18" i="1" s="1"/>
  <c r="G107" i="10" l="1"/>
  <c r="F107" i="10"/>
  <c r="F18" i="1"/>
  <c r="D18" i="1"/>
  <c r="D44" i="6"/>
  <c r="D31" i="6"/>
  <c r="D29" i="6"/>
  <c r="H107" i="10" l="1"/>
  <c r="I108" i="10" s="1"/>
  <c r="D41" i="6"/>
  <c r="D42" i="6" s="1"/>
  <c r="D30" i="6"/>
  <c r="D41" i="8"/>
  <c r="D26" i="8"/>
  <c r="D27" i="8" s="1"/>
  <c r="G108" i="10" l="1"/>
  <c r="F108" i="10"/>
  <c r="D28" i="8"/>
  <c r="E27" i="8"/>
  <c r="D38" i="8"/>
  <c r="D39" i="8" s="1"/>
  <c r="H108" i="10" l="1"/>
  <c r="I109" i="10" s="1"/>
  <c r="F109" i="10" s="1"/>
  <c r="G109" i="10" l="1"/>
  <c r="H109" i="10" s="1"/>
  <c r="I110" i="10" s="1"/>
  <c r="F110" i="10" s="1"/>
  <c r="G110" i="10" l="1"/>
  <c r="H110" i="10" s="1"/>
  <c r="I111" i="10" s="1"/>
  <c r="G111" i="10" s="1"/>
  <c r="F111" i="10" l="1"/>
  <c r="H111" i="10" s="1"/>
  <c r="I112" i="10" s="1"/>
  <c r="F112" i="10" l="1"/>
  <c r="G112" i="10"/>
  <c r="H112" i="10" l="1"/>
  <c r="I113" i="10" s="1"/>
  <c r="F113" i="10" s="1"/>
  <c r="G113" i="10" l="1"/>
  <c r="H113" i="10" s="1"/>
  <c r="I114" i="10" s="1"/>
  <c r="F114" i="10" s="1"/>
  <c r="G114" i="10" l="1"/>
  <c r="H114" i="10" s="1"/>
  <c r="I115" i="10" s="1"/>
  <c r="F115" i="10" s="1"/>
  <c r="G115" i="10" l="1"/>
  <c r="H115" i="10" s="1"/>
  <c r="I116" i="10" s="1"/>
  <c r="F116" i="10" s="1"/>
  <c r="G116" i="10" l="1"/>
  <c r="H116" i="10" s="1"/>
  <c r="I117" i="10" s="1"/>
  <c r="F117" i="10" l="1"/>
  <c r="G117" i="10"/>
  <c r="H117" i="10" l="1"/>
  <c r="I118" i="10" s="1"/>
  <c r="F118" i="10" l="1"/>
  <c r="G118" i="10"/>
  <c r="H118" i="10" l="1"/>
  <c r="I119" i="10" s="1"/>
  <c r="F119" i="10" s="1"/>
  <c r="G119" i="10" l="1"/>
  <c r="H119" i="10" s="1"/>
  <c r="I120" i="10" s="1"/>
  <c r="F120" i="10" s="1"/>
  <c r="G120" i="10" l="1"/>
  <c r="H120" i="10" s="1"/>
  <c r="I121" i="10" s="1"/>
  <c r="F121" i="10" s="1"/>
  <c r="G121" i="10" l="1"/>
  <c r="H121" i="10" s="1"/>
  <c r="I122" i="10" s="1"/>
  <c r="F122" i="10" s="1"/>
  <c r="G122" i="10" l="1"/>
  <c r="H122" i="10" s="1"/>
  <c r="I123" i="10" s="1"/>
  <c r="G123" i="10" l="1"/>
  <c r="F123" i="10"/>
  <c r="H123" i="10" l="1"/>
  <c r="I124" i="10" s="1"/>
  <c r="F124" i="10" s="1"/>
  <c r="G124" i="10" l="1"/>
  <c r="H124" i="10" s="1"/>
  <c r="I125" i="10" s="1"/>
  <c r="F125" i="10" l="1"/>
  <c r="G125" i="10"/>
  <c r="H125" i="10" l="1"/>
  <c r="I126" i="10" s="1"/>
  <c r="F126" i="10" s="1"/>
  <c r="G126" i="10" l="1"/>
  <c r="H126" i="10" s="1"/>
  <c r="I127" i="10" s="1"/>
  <c r="F127" i="10" s="1"/>
  <c r="G127" i="10" l="1"/>
  <c r="H127" i="10" s="1"/>
  <c r="I128" i="10" s="1"/>
  <c r="G128" i="10" l="1"/>
  <c r="F128" i="10"/>
  <c r="H128" i="10" l="1"/>
  <c r="I129" i="10" s="1"/>
  <c r="F129" i="10" s="1"/>
  <c r="G129" i="10" l="1"/>
  <c r="H129" i="10" s="1"/>
  <c r="I130" i="10" s="1"/>
  <c r="G130" i="10" s="1"/>
  <c r="F130" i="10" l="1"/>
  <c r="H130" i="10" s="1"/>
  <c r="I131" i="10" s="1"/>
  <c r="F131" i="10" s="1"/>
  <c r="G131" i="10" l="1"/>
  <c r="H131" i="10" s="1"/>
  <c r="I132" i="10" s="1"/>
  <c r="F132" i="10" s="1"/>
  <c r="G132" i="10" l="1"/>
  <c r="H132" i="10" s="1"/>
  <c r="I133" i="10" s="1"/>
  <c r="F133" i="10" s="1"/>
  <c r="G133" i="10" l="1"/>
  <c r="H133" i="10" s="1"/>
  <c r="I134" i="10" s="1"/>
  <c r="F134" i="10" s="1"/>
  <c r="G134" i="10" l="1"/>
  <c r="H134" i="10" s="1"/>
  <c r="I135" i="10" s="1"/>
  <c r="F135" i="10" s="1"/>
  <c r="G135" i="10" l="1"/>
  <c r="H135" i="10" s="1"/>
  <c r="I136" i="10" s="1"/>
  <c r="F136" i="10" s="1"/>
  <c r="G136" i="10" l="1"/>
  <c r="H136" i="10" s="1"/>
  <c r="I137" i="10" s="1"/>
  <c r="F137" i="10" s="1"/>
  <c r="G137" i="10" l="1"/>
  <c r="H137" i="10" s="1"/>
  <c r="I138" i="10" s="1"/>
  <c r="F138" i="10" s="1"/>
  <c r="G138" i="10" l="1"/>
  <c r="H138" i="10" s="1"/>
  <c r="I139" i="10" s="1"/>
  <c r="F139" i="10" s="1"/>
  <c r="G139" i="10" l="1"/>
  <c r="H139" i="10" s="1"/>
  <c r="I140" i="10" s="1"/>
  <c r="F140" i="10" s="1"/>
  <c r="G140" i="10" l="1"/>
  <c r="H140" i="10" s="1"/>
  <c r="I141" i="10" s="1"/>
  <c r="F141" i="10" s="1"/>
  <c r="G141" i="10" l="1"/>
  <c r="H141" i="10" s="1"/>
  <c r="I142" i="10" s="1"/>
  <c r="G142" i="10" s="1"/>
  <c r="F142" i="10" l="1"/>
  <c r="H142" i="10" s="1"/>
  <c r="I143" i="10" s="1"/>
  <c r="F143" i="10" l="1"/>
  <c r="G143" i="10"/>
  <c r="H143" i="10" l="1"/>
  <c r="I144" i="10" s="1"/>
  <c r="F144" i="10" l="1"/>
  <c r="G144" i="10"/>
  <c r="H144" i="10" l="1"/>
  <c r="I145" i="10" s="1"/>
  <c r="F145" i="10" s="1"/>
  <c r="G145" i="10" l="1"/>
  <c r="H145" i="10" s="1"/>
  <c r="I146" i="10" s="1"/>
  <c r="E90" i="10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242" i="10" s="1"/>
  <c r="E243" i="10" s="1"/>
  <c r="E244" i="10" s="1"/>
  <c r="E245" i="10" s="1"/>
  <c r="E246" i="10" s="1"/>
  <c r="E247" i="10" s="1"/>
  <c r="E248" i="10" s="1"/>
  <c r="E249" i="10" s="1"/>
  <c r="E250" i="10" s="1"/>
  <c r="E251" i="10" s="1"/>
  <c r="E252" i="10" s="1"/>
  <c r="E253" i="10" s="1"/>
  <c r="E254" i="10" s="1"/>
  <c r="E255" i="10" s="1"/>
  <c r="E256" i="10" s="1"/>
  <c r="E257" i="10" s="1"/>
  <c r="E258" i="10" s="1"/>
  <c r="E259" i="10" s="1"/>
  <c r="E260" i="10" s="1"/>
  <c r="E261" i="10" s="1"/>
  <c r="E262" i="10" s="1"/>
  <c r="E263" i="10" s="1"/>
  <c r="E264" i="10" s="1"/>
  <c r="E265" i="10" s="1"/>
  <c r="E266" i="10" s="1"/>
  <c r="E267" i="10" s="1"/>
  <c r="E268" i="10" s="1"/>
  <c r="E269" i="10" s="1"/>
  <c r="E270" i="10" s="1"/>
  <c r="E271" i="10" s="1"/>
  <c r="E272" i="10" s="1"/>
  <c r="E273" i="10" s="1"/>
  <c r="E274" i="10" s="1"/>
  <c r="E275" i="10" s="1"/>
  <c r="E276" i="10" s="1"/>
  <c r="E277" i="10" s="1"/>
  <c r="E278" i="10" s="1"/>
  <c r="E279" i="10" s="1"/>
  <c r="E280" i="10" s="1"/>
  <c r="E281" i="10" s="1"/>
  <c r="E282" i="10" s="1"/>
  <c r="E283" i="10" s="1"/>
  <c r="E284" i="10" s="1"/>
  <c r="E285" i="10" s="1"/>
  <c r="E286" i="10" s="1"/>
  <c r="E287" i="10" s="1"/>
  <c r="E288" i="10" s="1"/>
  <c r="E289" i="10" s="1"/>
  <c r="E290" i="10" s="1"/>
  <c r="E291" i="10" s="1"/>
  <c r="E292" i="10" s="1"/>
  <c r="E293" i="10" s="1"/>
  <c r="E294" i="10" s="1"/>
  <c r="E295" i="10" s="1"/>
  <c r="E296" i="10" s="1"/>
  <c r="E297" i="10" s="1"/>
  <c r="E298" i="10" s="1"/>
  <c r="E299" i="10" s="1"/>
  <c r="E300" i="10" s="1"/>
  <c r="E301" i="10" s="1"/>
  <c r="E302" i="10" s="1"/>
  <c r="E303" i="10" s="1"/>
  <c r="E304" i="10" s="1"/>
  <c r="E305" i="10" s="1"/>
  <c r="E306" i="10" s="1"/>
  <c r="E307" i="10" s="1"/>
  <c r="E308" i="10" s="1"/>
  <c r="E309" i="10" s="1"/>
  <c r="E310" i="10" s="1"/>
  <c r="E311" i="10" s="1"/>
  <c r="E312" i="10" s="1"/>
  <c r="E313" i="10" s="1"/>
  <c r="E314" i="10" s="1"/>
  <c r="E315" i="10" s="1"/>
  <c r="E316" i="10" s="1"/>
  <c r="E317" i="10" s="1"/>
  <c r="E318" i="10" s="1"/>
  <c r="E319" i="10" s="1"/>
  <c r="E320" i="10" s="1"/>
  <c r="E321" i="10" s="1"/>
  <c r="E322" i="10" s="1"/>
  <c r="E323" i="10" s="1"/>
  <c r="E324" i="10" s="1"/>
  <c r="E325" i="10" s="1"/>
  <c r="E326" i="10" s="1"/>
  <c r="E327" i="10" s="1"/>
  <c r="E328" i="10" s="1"/>
  <c r="E329" i="10" s="1"/>
  <c r="E330" i="10" s="1"/>
  <c r="E331" i="10" s="1"/>
  <c r="E332" i="10" s="1"/>
  <c r="E333" i="10" s="1"/>
  <c r="E334" i="10" s="1"/>
  <c r="E335" i="10" s="1"/>
  <c r="E336" i="10" s="1"/>
  <c r="E337" i="10" s="1"/>
  <c r="E338" i="10" s="1"/>
  <c r="E339" i="10" s="1"/>
  <c r="E340" i="10" s="1"/>
  <c r="E341" i="10" s="1"/>
  <c r="E342" i="10" s="1"/>
  <c r="E343" i="10" s="1"/>
  <c r="E344" i="10" s="1"/>
  <c r="E345" i="10" s="1"/>
  <c r="E346" i="10" s="1"/>
  <c r="E347" i="10" s="1"/>
  <c r="E348" i="10" s="1"/>
  <c r="E349" i="10" s="1"/>
  <c r="E350" i="10" s="1"/>
  <c r="E351" i="10" s="1"/>
  <c r="E352" i="10" s="1"/>
  <c r="E353" i="10" s="1"/>
  <c r="E354" i="10" s="1"/>
  <c r="E355" i="10" s="1"/>
  <c r="E356" i="10" s="1"/>
  <c r="E357" i="10" s="1"/>
  <c r="E358" i="10" s="1"/>
  <c r="E359" i="10" s="1"/>
  <c r="E360" i="10" s="1"/>
  <c r="E361" i="10" s="1"/>
  <c r="E362" i="10" s="1"/>
  <c r="E363" i="10" s="1"/>
  <c r="E364" i="10" s="1"/>
  <c r="E365" i="10" s="1"/>
  <c r="E366" i="10" s="1"/>
  <c r="E367" i="10" s="1"/>
  <c r="E368" i="10" s="1"/>
  <c r="E369" i="10" s="1"/>
  <c r="E370" i="10" s="1"/>
  <c r="E371" i="10" s="1"/>
  <c r="E372" i="10" s="1"/>
  <c r="E373" i="10" s="1"/>
  <c r="E374" i="10" s="1"/>
  <c r="E375" i="10" s="1"/>
  <c r="E376" i="10" s="1"/>
  <c r="E377" i="10" s="1"/>
  <c r="E378" i="10" s="1"/>
  <c r="E379" i="10" s="1"/>
  <c r="E380" i="10" s="1"/>
  <c r="E381" i="10" s="1"/>
  <c r="E382" i="10" s="1"/>
  <c r="E383" i="10" s="1"/>
  <c r="E384" i="10" s="1"/>
  <c r="E385" i="10" s="1"/>
  <c r="E386" i="10" s="1"/>
  <c r="E387" i="10" s="1"/>
  <c r="E388" i="10" s="1"/>
  <c r="E389" i="10" s="1"/>
  <c r="E390" i="10" s="1"/>
  <c r="E391" i="10" s="1"/>
  <c r="E392" i="10" s="1"/>
  <c r="E393" i="10" s="1"/>
  <c r="E394" i="10" s="1"/>
  <c r="E395" i="10" s="1"/>
  <c r="E396" i="10" s="1"/>
  <c r="E397" i="10" s="1"/>
  <c r="E398" i="10" s="1"/>
  <c r="E399" i="10" s="1"/>
  <c r="E400" i="10" s="1"/>
  <c r="E401" i="10" s="1"/>
  <c r="E402" i="10" s="1"/>
  <c r="E403" i="10" s="1"/>
  <c r="E404" i="10" s="1"/>
  <c r="E405" i="10" s="1"/>
  <c r="E406" i="10" s="1"/>
  <c r="E407" i="10" s="1"/>
  <c r="E408" i="10" s="1"/>
  <c r="E409" i="10" s="1"/>
  <c r="E410" i="10" s="1"/>
  <c r="E411" i="10" s="1"/>
  <c r="E412" i="10" s="1"/>
  <c r="E413" i="10" s="1"/>
  <c r="E414" i="10" s="1"/>
  <c r="E415" i="10" s="1"/>
  <c r="E416" i="10" s="1"/>
  <c r="E417" i="10" s="1"/>
  <c r="E418" i="10" s="1"/>
  <c r="E419" i="10" s="1"/>
  <c r="E420" i="10" s="1"/>
  <c r="E421" i="10" s="1"/>
  <c r="E422" i="10" s="1"/>
  <c r="E423" i="10" s="1"/>
  <c r="E424" i="10" s="1"/>
  <c r="E425" i="10" s="1"/>
  <c r="E426" i="10" s="1"/>
  <c r="E427" i="10" s="1"/>
  <c r="E428" i="10" s="1"/>
  <c r="E429" i="10" s="1"/>
  <c r="E430" i="10" s="1"/>
  <c r="E431" i="10" s="1"/>
  <c r="E432" i="10" s="1"/>
  <c r="E433" i="10" s="1"/>
  <c r="E434" i="10" s="1"/>
  <c r="E435" i="10" s="1"/>
  <c r="E436" i="10" s="1"/>
  <c r="E437" i="10" s="1"/>
  <c r="E438" i="10" s="1"/>
  <c r="E439" i="10" s="1"/>
  <c r="E440" i="10" s="1"/>
  <c r="E441" i="10" s="1"/>
  <c r="E442" i="10" s="1"/>
  <c r="E443" i="10" s="1"/>
  <c r="E444" i="10" s="1"/>
  <c r="E445" i="10" s="1"/>
  <c r="E446" i="10" s="1"/>
  <c r="E447" i="10" s="1"/>
  <c r="E448" i="10" s="1"/>
  <c r="E449" i="10" s="1"/>
  <c r="E450" i="10" s="1"/>
  <c r="E451" i="10" s="1"/>
  <c r="E452" i="10" s="1"/>
  <c r="E453" i="10" s="1"/>
  <c r="E454" i="10" s="1"/>
  <c r="E455" i="10" s="1"/>
  <c r="E456" i="10" s="1"/>
  <c r="E457" i="10" s="1"/>
  <c r="E458" i="10" s="1"/>
  <c r="E459" i="10" s="1"/>
  <c r="E460" i="10" s="1"/>
  <c r="E461" i="10" s="1"/>
  <c r="E462" i="10" s="1"/>
  <c r="E463" i="10" s="1"/>
  <c r="E464" i="10" s="1"/>
  <c r="E465" i="10" s="1"/>
  <c r="E466" i="10" s="1"/>
  <c r="E467" i="10" s="1"/>
  <c r="E468" i="10" s="1"/>
  <c r="E469" i="10" s="1"/>
  <c r="E470" i="10" s="1"/>
  <c r="E471" i="10" s="1"/>
  <c r="E472" i="10" s="1"/>
  <c r="E473" i="10" s="1"/>
  <c r="E474" i="10" s="1"/>
  <c r="E475" i="10" s="1"/>
  <c r="E476" i="10" s="1"/>
  <c r="E477" i="10" s="1"/>
  <c r="E478" i="10" s="1"/>
  <c r="E479" i="10" s="1"/>
  <c r="E480" i="10" s="1"/>
  <c r="E481" i="10" s="1"/>
  <c r="E482" i="10" s="1"/>
  <c r="E483" i="10" s="1"/>
  <c r="E484" i="10" s="1"/>
  <c r="E485" i="10" s="1"/>
  <c r="E486" i="10" s="1"/>
  <c r="E487" i="10" s="1"/>
  <c r="E488" i="10" s="1"/>
  <c r="E489" i="10" s="1"/>
  <c r="E490" i="10" s="1"/>
  <c r="E491" i="10" s="1"/>
  <c r="E492" i="10" s="1"/>
  <c r="E493" i="10" s="1"/>
  <c r="E494" i="10" s="1"/>
  <c r="E495" i="10" s="1"/>
  <c r="E496" i="10" s="1"/>
  <c r="E497" i="10" s="1"/>
  <c r="E498" i="10" s="1"/>
  <c r="E499" i="10" s="1"/>
  <c r="E500" i="10" s="1"/>
  <c r="E501" i="10" s="1"/>
  <c r="E502" i="10" s="1"/>
  <c r="E503" i="10" s="1"/>
  <c r="E504" i="10" s="1"/>
  <c r="E505" i="10" s="1"/>
  <c r="E506" i="10" s="1"/>
  <c r="E507" i="10" s="1"/>
  <c r="E508" i="10" s="1"/>
  <c r="F146" i="10" l="1"/>
  <c r="G146" i="10"/>
  <c r="H146" i="10" l="1"/>
  <c r="I147" i="10" s="1"/>
  <c r="F147" i="10" l="1"/>
  <c r="G147" i="10"/>
  <c r="H147" i="10" l="1"/>
  <c r="I148" i="10" s="1"/>
  <c r="F148" i="10" l="1"/>
  <c r="G148" i="10"/>
  <c r="H148" i="10" l="1"/>
  <c r="I149" i="10" s="1"/>
  <c r="F149" i="10" l="1"/>
  <c r="G149" i="10"/>
  <c r="H149" i="10" l="1"/>
  <c r="I150" i="10" s="1"/>
  <c r="F150" i="10" s="1"/>
  <c r="G150" i="10" l="1"/>
  <c r="H150" i="10" s="1"/>
  <c r="I151" i="10" s="1"/>
  <c r="F151" i="10" l="1"/>
  <c r="G151" i="10"/>
  <c r="H151" i="10" l="1"/>
  <c r="I152" i="10" s="1"/>
  <c r="F152" i="10" l="1"/>
  <c r="G152" i="10"/>
  <c r="H152" i="10" l="1"/>
  <c r="I153" i="10" s="1"/>
  <c r="F153" i="10" l="1"/>
  <c r="G153" i="10"/>
  <c r="H153" i="10" l="1"/>
  <c r="I154" i="10" s="1"/>
  <c r="G154" i="10" s="1"/>
  <c r="F154" i="10" l="1"/>
  <c r="H154" i="10" s="1"/>
  <c r="I155" i="10" s="1"/>
  <c r="F155" i="10" l="1"/>
  <c r="G155" i="10"/>
  <c r="H155" i="10" l="1"/>
  <c r="I156" i="10" s="1"/>
  <c r="F156" i="10" l="1"/>
  <c r="G156" i="10"/>
  <c r="H156" i="10" l="1"/>
  <c r="I157" i="10" s="1"/>
  <c r="G157" i="10" s="1"/>
  <c r="F157" i="10" l="1"/>
  <c r="H157" i="10" s="1"/>
  <c r="I158" i="10" s="1"/>
  <c r="G158" i="10" l="1"/>
  <c r="F158" i="10"/>
  <c r="H158" i="10" l="1"/>
  <c r="I159" i="10" s="1"/>
  <c r="G159" i="10" s="1"/>
  <c r="F159" i="10" l="1"/>
  <c r="H159" i="10" s="1"/>
  <c r="I160" i="10" s="1"/>
  <c r="F160" i="10" l="1"/>
  <c r="G160" i="10"/>
  <c r="H160" i="10" l="1"/>
  <c r="I161" i="10" s="1"/>
  <c r="F161" i="10" s="1"/>
  <c r="G161" i="10" l="1"/>
  <c r="H161" i="10" s="1"/>
  <c r="I162" i="10" s="1"/>
  <c r="G162" i="10" l="1"/>
  <c r="F162" i="10"/>
  <c r="H162" i="10" l="1"/>
  <c r="I163" i="10" s="1"/>
  <c r="F163" i="10" l="1"/>
  <c r="G163" i="10"/>
  <c r="H163" i="10" l="1"/>
  <c r="I164" i="10" s="1"/>
  <c r="F164" i="10" s="1"/>
  <c r="G164" i="10" l="1"/>
  <c r="H164" i="10" s="1"/>
  <c r="I165" i="10" s="1"/>
  <c r="G165" i="10" l="1"/>
  <c r="F165" i="10"/>
  <c r="H165" i="10" l="1"/>
  <c r="I166" i="10" s="1"/>
  <c r="G166" i="10" s="1"/>
  <c r="F166" i="10" l="1"/>
  <c r="H166" i="10" s="1"/>
  <c r="I167" i="10" s="1"/>
  <c r="F167" i="10" l="1"/>
  <c r="G167" i="10"/>
  <c r="H167" i="10" l="1"/>
  <c r="I168" i="10" s="1"/>
  <c r="G168" i="10" s="1"/>
  <c r="F168" i="10" l="1"/>
  <c r="H168" i="10" s="1"/>
  <c r="I169" i="10" s="1"/>
  <c r="F169" i="10" s="1"/>
  <c r="G169" i="10" l="1"/>
  <c r="H169" i="10" s="1"/>
  <c r="I170" i="10" s="1"/>
  <c r="G170" i="10" s="1"/>
  <c r="F170" i="10" l="1"/>
  <c r="H170" i="10" s="1"/>
  <c r="I171" i="10" s="1"/>
  <c r="F171" i="10" s="1"/>
  <c r="G171" i="10" l="1"/>
  <c r="H171" i="10" s="1"/>
  <c r="I172" i="10" s="1"/>
  <c r="G172" i="10" l="1"/>
  <c r="F172" i="10"/>
  <c r="H172" i="10" l="1"/>
  <c r="I173" i="10" s="1"/>
  <c r="F173" i="10" l="1"/>
  <c r="G173" i="10"/>
  <c r="H173" i="10" l="1"/>
  <c r="I174" i="10" s="1"/>
  <c r="F174" i="10" l="1"/>
  <c r="G174" i="10"/>
  <c r="H174" i="10" l="1"/>
  <c r="I175" i="10" s="1"/>
  <c r="F175" i="10" l="1"/>
  <c r="G175" i="10"/>
  <c r="H175" i="10" l="1"/>
  <c r="I176" i="10" s="1"/>
  <c r="F176" i="10" s="1"/>
  <c r="G176" i="10" l="1"/>
  <c r="H176" i="10" s="1"/>
  <c r="I177" i="10" s="1"/>
  <c r="F177" i="10" s="1"/>
  <c r="G177" i="10" l="1"/>
  <c r="H177" i="10" s="1"/>
  <c r="I178" i="10" s="1"/>
  <c r="G178" i="10" s="1"/>
  <c r="F178" i="10" l="1"/>
  <c r="H178" i="10" s="1"/>
  <c r="I179" i="10" s="1"/>
  <c r="G179" i="10" s="1"/>
  <c r="F179" i="10" l="1"/>
  <c r="H179" i="10" s="1"/>
  <c r="I180" i="10" s="1"/>
  <c r="F180" i="10" l="1"/>
  <c r="G180" i="10"/>
  <c r="H180" i="10" l="1"/>
  <c r="I181" i="10" s="1"/>
  <c r="F181" i="10" s="1"/>
  <c r="G181" i="10" l="1"/>
  <c r="H181" i="10" s="1"/>
  <c r="I182" i="10" s="1"/>
  <c r="F182" i="10" s="1"/>
  <c r="G182" i="10" l="1"/>
  <c r="H182" i="10" s="1"/>
  <c r="I183" i="10" s="1"/>
  <c r="F183" i="10" l="1"/>
  <c r="G183" i="10"/>
  <c r="H183" i="10" l="1"/>
  <c r="I184" i="10" s="1"/>
  <c r="F184" i="10" s="1"/>
  <c r="G184" i="10" l="1"/>
  <c r="H184" i="10" s="1"/>
  <c r="I185" i="10" s="1"/>
  <c r="F185" i="10" l="1"/>
  <c r="G185" i="10"/>
  <c r="H185" i="10" l="1"/>
  <c r="I186" i="10" s="1"/>
  <c r="G186" i="10" s="1"/>
  <c r="F186" i="10" l="1"/>
  <c r="H186" i="10" s="1"/>
  <c r="I187" i="10" s="1"/>
  <c r="G187" i="10" s="1"/>
  <c r="F187" i="10" l="1"/>
  <c r="H187" i="10" s="1"/>
  <c r="I188" i="10" s="1"/>
  <c r="F188" i="10" s="1"/>
  <c r="G188" i="10" l="1"/>
  <c r="H188" i="10" s="1"/>
  <c r="I189" i="10" s="1"/>
  <c r="F189" i="10" l="1"/>
  <c r="G189" i="10"/>
  <c r="H189" i="10" l="1"/>
  <c r="I190" i="10" s="1"/>
  <c r="F190" i="10" s="1"/>
  <c r="G190" i="10" l="1"/>
  <c r="H190" i="10" s="1"/>
  <c r="I191" i="10" s="1"/>
  <c r="F191" i="10" l="1"/>
  <c r="G191" i="10"/>
  <c r="H191" i="10" l="1"/>
  <c r="I192" i="10" s="1"/>
  <c r="F192" i="10" l="1"/>
  <c r="G192" i="10"/>
  <c r="H192" i="10" l="1"/>
  <c r="I193" i="10" s="1"/>
  <c r="F193" i="10" l="1"/>
  <c r="G193" i="10"/>
  <c r="H193" i="10" l="1"/>
  <c r="I194" i="10" s="1"/>
  <c r="F194" i="10" l="1"/>
  <c r="G194" i="10"/>
  <c r="H194" i="10" l="1"/>
  <c r="I195" i="10" s="1"/>
  <c r="G195" i="10" s="1"/>
  <c r="F195" i="10" l="1"/>
  <c r="H195" i="10" s="1"/>
  <c r="I196" i="10" s="1"/>
  <c r="F196" i="10" l="1"/>
  <c r="G196" i="10"/>
  <c r="H196" i="10" l="1"/>
  <c r="I197" i="10" s="1"/>
  <c r="F197" i="10" s="1"/>
  <c r="G197" i="10" l="1"/>
  <c r="H197" i="10" s="1"/>
  <c r="I198" i="10" s="1"/>
  <c r="F198" i="10" s="1"/>
  <c r="G198" i="10" l="1"/>
  <c r="H198" i="10" s="1"/>
  <c r="I199" i="10" s="1"/>
  <c r="G199" i="10" s="1"/>
  <c r="F199" i="10" l="1"/>
  <c r="H199" i="10" s="1"/>
  <c r="I200" i="10" s="1"/>
  <c r="F200" i="10" s="1"/>
  <c r="G200" i="10" l="1"/>
  <c r="H200" i="10" s="1"/>
  <c r="I201" i="10" s="1"/>
  <c r="F201" i="10" s="1"/>
  <c r="G201" i="10" l="1"/>
  <c r="H201" i="10" s="1"/>
  <c r="I202" i="10" s="1"/>
  <c r="G202" i="10" s="1"/>
  <c r="F202" i="10" l="1"/>
  <c r="H202" i="10" s="1"/>
  <c r="I203" i="10" s="1"/>
  <c r="F203" i="10" l="1"/>
  <c r="G203" i="10"/>
  <c r="H203" i="10" l="1"/>
  <c r="I204" i="10" s="1"/>
  <c r="F204" i="10" s="1"/>
  <c r="G204" i="10" l="1"/>
  <c r="H204" i="10" s="1"/>
  <c r="I205" i="10" s="1"/>
  <c r="F205" i="10" s="1"/>
  <c r="G205" i="10" l="1"/>
  <c r="H205" i="10" s="1"/>
  <c r="I206" i="10" s="1"/>
  <c r="F206" i="10" l="1"/>
  <c r="G206" i="10"/>
  <c r="H206" i="10" l="1"/>
  <c r="I207" i="10" s="1"/>
  <c r="G207" i="10" l="1"/>
  <c r="F207" i="10"/>
  <c r="H207" i="10" l="1"/>
  <c r="I208" i="10" s="1"/>
  <c r="F208" i="10" l="1"/>
  <c r="G208" i="10"/>
  <c r="H208" i="10" l="1"/>
  <c r="I209" i="10" s="1"/>
  <c r="F209" i="10" l="1"/>
  <c r="G209" i="10"/>
  <c r="H209" i="10" l="1"/>
  <c r="I210" i="10" s="1"/>
  <c r="F210" i="10" l="1"/>
  <c r="G210" i="10"/>
  <c r="H210" i="10" l="1"/>
  <c r="I211" i="10" s="1"/>
  <c r="G211" i="10" s="1"/>
  <c r="F211" i="10" l="1"/>
  <c r="H211" i="10" s="1"/>
  <c r="I212" i="10" s="1"/>
  <c r="G212" i="10" s="1"/>
  <c r="F212" i="10" l="1"/>
  <c r="H212" i="10" s="1"/>
  <c r="I213" i="10" s="1"/>
  <c r="F213" i="10" s="1"/>
  <c r="G213" i="10" l="1"/>
  <c r="H213" i="10" s="1"/>
  <c r="I214" i="10" s="1"/>
  <c r="G214" i="10" l="1"/>
  <c r="F214" i="10"/>
  <c r="H214" i="10" l="1"/>
  <c r="I215" i="10" s="1"/>
  <c r="F215" i="10" l="1"/>
  <c r="G215" i="10"/>
  <c r="H215" i="10" l="1"/>
  <c r="I216" i="10" s="1"/>
  <c r="F216" i="10" l="1"/>
  <c r="G216" i="10"/>
  <c r="H216" i="10" l="1"/>
  <c r="I217" i="10" s="1"/>
  <c r="F217" i="10" l="1"/>
  <c r="G217" i="10"/>
  <c r="H217" i="10" l="1"/>
  <c r="I218" i="10" s="1"/>
  <c r="F218" i="10" l="1"/>
  <c r="G218" i="10"/>
  <c r="H218" i="10" l="1"/>
  <c r="I219" i="10" s="1"/>
  <c r="F219" i="10" s="1"/>
  <c r="G219" i="10" l="1"/>
  <c r="H219" i="10" s="1"/>
  <c r="I220" i="10" s="1"/>
  <c r="G220" i="10" s="1"/>
  <c r="F220" i="10" l="1"/>
  <c r="H220" i="10" s="1"/>
  <c r="I221" i="10" s="1"/>
  <c r="F221" i="10" l="1"/>
  <c r="G221" i="10"/>
  <c r="H221" i="10" l="1"/>
  <c r="I222" i="10" s="1"/>
  <c r="G222" i="10" l="1"/>
  <c r="F222" i="10"/>
  <c r="H222" i="10" l="1"/>
  <c r="I223" i="10" s="1"/>
  <c r="F223" i="10" l="1"/>
  <c r="G223" i="10"/>
  <c r="H223" i="10" l="1"/>
  <c r="I224" i="10" s="1"/>
  <c r="F224" i="10" l="1"/>
  <c r="G224" i="10"/>
  <c r="H224" i="10" l="1"/>
  <c r="I225" i="10" s="1"/>
  <c r="F225" i="10" s="1"/>
  <c r="G225" i="10" l="1"/>
  <c r="H225" i="10" s="1"/>
  <c r="I226" i="10" s="1"/>
  <c r="F226" i="10" s="1"/>
  <c r="G226" i="10" l="1"/>
  <c r="H226" i="10" s="1"/>
  <c r="I227" i="10" s="1"/>
  <c r="F227" i="10" l="1"/>
  <c r="G227" i="10"/>
  <c r="H227" i="10" l="1"/>
  <c r="I228" i="10" s="1"/>
  <c r="F228" i="10" s="1"/>
  <c r="G228" i="10" l="1"/>
  <c r="H228" i="10" s="1"/>
  <c r="I229" i="10" s="1"/>
  <c r="F229" i="10" s="1"/>
  <c r="G229" i="10" l="1"/>
  <c r="H229" i="10" s="1"/>
  <c r="I230" i="10" s="1"/>
  <c r="F230" i="10" l="1"/>
  <c r="G230" i="10"/>
  <c r="H230" i="10" l="1"/>
  <c r="I231" i="10" s="1"/>
  <c r="F231" i="10" s="1"/>
  <c r="G231" i="10" l="1"/>
  <c r="H231" i="10" s="1"/>
  <c r="I232" i="10" s="1"/>
  <c r="F232" i="10" s="1"/>
  <c r="G232" i="10" l="1"/>
  <c r="H232" i="10" s="1"/>
  <c r="I233" i="10" s="1"/>
  <c r="F233" i="10" l="1"/>
  <c r="G233" i="10"/>
  <c r="H233" i="10" l="1"/>
  <c r="I234" i="10" s="1"/>
  <c r="G234" i="10" l="1"/>
  <c r="F234" i="10"/>
  <c r="H234" i="10" l="1"/>
  <c r="I235" i="10" s="1"/>
  <c r="F235" i="10" l="1"/>
  <c r="G235" i="10"/>
  <c r="H235" i="10" l="1"/>
  <c r="I236" i="10" s="1"/>
  <c r="F236" i="10" s="1"/>
  <c r="G236" i="10" l="1"/>
  <c r="H236" i="10" s="1"/>
  <c r="I237" i="10" s="1"/>
  <c r="G237" i="10" s="1"/>
  <c r="F237" i="10" l="1"/>
  <c r="H237" i="10" s="1"/>
  <c r="I238" i="10" s="1"/>
  <c r="G238" i="10" s="1"/>
  <c r="F238" i="10" l="1"/>
  <c r="H238" i="10" s="1"/>
  <c r="I239" i="10" s="1"/>
  <c r="F239" i="10" l="1"/>
  <c r="G239" i="10"/>
  <c r="H239" i="10" l="1"/>
  <c r="I240" i="10" s="1"/>
  <c r="F240" i="10" l="1"/>
  <c r="G240" i="10"/>
  <c r="H240" i="10" l="1"/>
  <c r="I241" i="10" s="1"/>
  <c r="F241" i="10" s="1"/>
  <c r="G241" i="10" l="1"/>
  <c r="H241" i="10" s="1"/>
  <c r="I242" i="10" s="1"/>
  <c r="F242" i="10" s="1"/>
  <c r="G242" i="10" l="1"/>
  <c r="H242" i="10" s="1"/>
  <c r="I243" i="10" s="1"/>
  <c r="F243" i="10" s="1"/>
  <c r="G243" i="10" l="1"/>
  <c r="H243" i="10" s="1"/>
  <c r="I244" i="10" s="1"/>
  <c r="F244" i="10" l="1"/>
  <c r="G244" i="10"/>
  <c r="H244" i="10" l="1"/>
  <c r="I245" i="10" s="1"/>
  <c r="G245" i="10" l="1"/>
  <c r="F245" i="10"/>
  <c r="H245" i="10" l="1"/>
  <c r="I246" i="10" s="1"/>
  <c r="F246" i="10" l="1"/>
  <c r="G246" i="10"/>
  <c r="H246" i="10" l="1"/>
  <c r="I247" i="10" s="1"/>
  <c r="F247" i="10" s="1"/>
  <c r="G247" i="10" l="1"/>
  <c r="H247" i="10" s="1"/>
  <c r="I248" i="10" s="1"/>
  <c r="F248" i="10" l="1"/>
  <c r="G248" i="10"/>
  <c r="H248" i="10" l="1"/>
  <c r="I249" i="10" s="1"/>
  <c r="G249" i="10" s="1"/>
  <c r="F249" i="10" l="1"/>
  <c r="H249" i="10" s="1"/>
  <c r="I250" i="10" s="1"/>
  <c r="F250" i="10" l="1"/>
  <c r="G250" i="10"/>
  <c r="H250" i="10" l="1"/>
  <c r="I251" i="10" s="1"/>
  <c r="F251" i="10" s="1"/>
  <c r="G251" i="10" l="1"/>
  <c r="H251" i="10" s="1"/>
  <c r="I252" i="10" s="1"/>
  <c r="F252" i="10" l="1"/>
  <c r="G252" i="10"/>
  <c r="H252" i="10" l="1"/>
  <c r="I253" i="10" s="1"/>
  <c r="G253" i="10" s="1"/>
  <c r="F253" i="10" l="1"/>
  <c r="H253" i="10" s="1"/>
  <c r="I254" i="10" s="1"/>
  <c r="F254" i="10" l="1"/>
  <c r="G254" i="10"/>
  <c r="H254" i="10" l="1"/>
  <c r="I255" i="10" s="1"/>
  <c r="F255" i="10" l="1"/>
  <c r="G255" i="10"/>
  <c r="H255" i="10" l="1"/>
  <c r="I256" i="10" s="1"/>
  <c r="F256" i="10" l="1"/>
  <c r="G256" i="10"/>
  <c r="H256" i="10" l="1"/>
  <c r="I257" i="10" s="1"/>
  <c r="G257" i="10" l="1"/>
  <c r="F257" i="10"/>
  <c r="H257" i="10" l="1"/>
  <c r="I258" i="10" s="1"/>
  <c r="F258" i="10" s="1"/>
  <c r="G258" i="10" l="1"/>
  <c r="H258" i="10" s="1"/>
  <c r="I259" i="10" s="1"/>
  <c r="F259" i="10" s="1"/>
  <c r="G259" i="10" l="1"/>
  <c r="H259" i="10" s="1"/>
  <c r="I260" i="10" s="1"/>
  <c r="F260" i="10" l="1"/>
  <c r="G260" i="10"/>
  <c r="H260" i="10" l="1"/>
  <c r="I261" i="10" s="1"/>
  <c r="F261" i="10" s="1"/>
  <c r="G261" i="10" l="1"/>
  <c r="H261" i="10" s="1"/>
  <c r="I262" i="10" s="1"/>
  <c r="F262" i="10" s="1"/>
  <c r="G262" i="10" l="1"/>
  <c r="H262" i="10" s="1"/>
  <c r="I263" i="10" s="1"/>
  <c r="F263" i="10" l="1"/>
  <c r="G263" i="10"/>
  <c r="H263" i="10" l="1"/>
  <c r="I264" i="10" s="1"/>
  <c r="F264" i="10" s="1"/>
  <c r="G264" i="10" l="1"/>
  <c r="H264" i="10" s="1"/>
  <c r="I265" i="10" s="1"/>
  <c r="F265" i="10" l="1"/>
  <c r="G265" i="10"/>
  <c r="H265" i="10" l="1"/>
  <c r="I266" i="10" s="1"/>
  <c r="G266" i="10" l="1"/>
  <c r="F266" i="10"/>
  <c r="H266" i="10" l="1"/>
  <c r="I267" i="10" s="1"/>
  <c r="F267" i="10" l="1"/>
  <c r="G267" i="10"/>
  <c r="H267" i="10" l="1"/>
  <c r="I268" i="10" s="1"/>
  <c r="F268" i="10" s="1"/>
  <c r="G268" i="10" l="1"/>
  <c r="H268" i="10" s="1"/>
  <c r="I269" i="10" s="1"/>
  <c r="G269" i="10" s="1"/>
  <c r="F269" i="10" l="1"/>
  <c r="H269" i="10" s="1"/>
  <c r="I270" i="10" s="1"/>
  <c r="F270" i="10" l="1"/>
  <c r="G270" i="10"/>
  <c r="H270" i="10" l="1"/>
  <c r="I271" i="10" s="1"/>
  <c r="G271" i="10" s="1"/>
  <c r="F271" i="10" l="1"/>
  <c r="H271" i="10" s="1"/>
  <c r="I272" i="10" s="1"/>
  <c r="F272" i="10" s="1"/>
  <c r="G272" i="10" l="1"/>
  <c r="H272" i="10" s="1"/>
  <c r="I273" i="10" s="1"/>
  <c r="F273" i="10" s="1"/>
  <c r="G273" i="10" l="1"/>
  <c r="H273" i="10" s="1"/>
  <c r="I274" i="10" s="1"/>
  <c r="F274" i="10" s="1"/>
  <c r="G274" i="10" l="1"/>
  <c r="H274" i="10" s="1"/>
  <c r="I275" i="10" s="1"/>
  <c r="G275" i="10" l="1"/>
  <c r="F275" i="10"/>
  <c r="H275" i="10" l="1"/>
  <c r="I276" i="10" s="1"/>
  <c r="F276" i="10" l="1"/>
  <c r="G276" i="10"/>
  <c r="H276" i="10" l="1"/>
  <c r="I277" i="10" s="1"/>
  <c r="G277" i="10" l="1"/>
  <c r="F277" i="10"/>
  <c r="H277" i="10" l="1"/>
  <c r="I278" i="10" s="1"/>
  <c r="F278" i="10" l="1"/>
  <c r="G278" i="10"/>
  <c r="H278" i="10" l="1"/>
  <c r="I279" i="10" s="1"/>
  <c r="G279" i="10" l="1"/>
  <c r="F279" i="10"/>
  <c r="H279" i="10" l="1"/>
  <c r="I280" i="10" s="1"/>
  <c r="F280" i="10" l="1"/>
  <c r="G280" i="10"/>
  <c r="H280" i="10" l="1"/>
  <c r="I281" i="10" s="1"/>
  <c r="F281" i="10" s="1"/>
  <c r="G281" i="10" l="1"/>
  <c r="H281" i="10" s="1"/>
  <c r="I282" i="10" s="1"/>
  <c r="F282" i="10" s="1"/>
  <c r="G282" i="10" l="1"/>
  <c r="H282" i="10" s="1"/>
  <c r="I283" i="10" s="1"/>
  <c r="F283" i="10" s="1"/>
  <c r="G283" i="10" l="1"/>
  <c r="H283" i="10" s="1"/>
  <c r="I284" i="10" s="1"/>
  <c r="G284" i="10" s="1"/>
  <c r="F284" i="10" l="1"/>
  <c r="H284" i="10" s="1"/>
  <c r="I285" i="10" s="1"/>
  <c r="F285" i="10" l="1"/>
  <c r="G285" i="10"/>
  <c r="H285" i="10" l="1"/>
  <c r="I286" i="10" s="1"/>
  <c r="F286" i="10" s="1"/>
  <c r="G286" i="10" l="1"/>
  <c r="H286" i="10" s="1"/>
  <c r="I287" i="10" s="1"/>
  <c r="F287" i="10" s="1"/>
  <c r="G287" i="10" l="1"/>
  <c r="H287" i="10" s="1"/>
  <c r="I288" i="10" s="1"/>
  <c r="F288" i="10" l="1"/>
  <c r="G288" i="10"/>
  <c r="H288" i="10" l="1"/>
  <c r="I289" i="10" s="1"/>
  <c r="G289" i="10" l="1"/>
  <c r="F289" i="10"/>
  <c r="H289" i="10" l="1"/>
  <c r="I290" i="10" s="1"/>
  <c r="F290" i="10" l="1"/>
  <c r="G290" i="10"/>
  <c r="H290" i="10" l="1"/>
  <c r="I291" i="10" s="1"/>
  <c r="F291" i="10" s="1"/>
  <c r="G291" i="10" l="1"/>
  <c r="H291" i="10" s="1"/>
  <c r="I292" i="10" s="1"/>
  <c r="G292" i="10" s="1"/>
  <c r="F292" i="10" l="1"/>
  <c r="H292" i="10" s="1"/>
  <c r="I293" i="10" s="1"/>
  <c r="F293" i="10" l="1"/>
  <c r="G293" i="10"/>
  <c r="H293" i="10" l="1"/>
  <c r="I294" i="10" s="1"/>
  <c r="F294" i="10" s="1"/>
  <c r="G294" i="10" l="1"/>
  <c r="H294" i="10" s="1"/>
  <c r="I295" i="10" s="1"/>
  <c r="F295" i="10" s="1"/>
  <c r="G295" i="10" l="1"/>
  <c r="H295" i="10" s="1"/>
  <c r="I296" i="10" s="1"/>
  <c r="G296" i="10" l="1"/>
  <c r="F296" i="10"/>
  <c r="H296" i="10" l="1"/>
  <c r="I297" i="10" s="1"/>
  <c r="F297" i="10" l="1"/>
  <c r="G297" i="10"/>
  <c r="H297" i="10" l="1"/>
  <c r="I298" i="10" s="1"/>
  <c r="F298" i="10" l="1"/>
  <c r="G298" i="10"/>
  <c r="H298" i="10" l="1"/>
  <c r="I299" i="10" s="1"/>
  <c r="G299" i="10" s="1"/>
  <c r="F299" i="10" l="1"/>
  <c r="H299" i="10" s="1"/>
  <c r="I300" i="10" s="1"/>
  <c r="F300" i="10" l="1"/>
  <c r="G300" i="10"/>
  <c r="H300" i="10" l="1"/>
  <c r="I301" i="10" s="1"/>
  <c r="F301" i="10" s="1"/>
  <c r="G301" i="10" l="1"/>
  <c r="H301" i="10" s="1"/>
  <c r="I302" i="10" s="1"/>
  <c r="F302" i="10" l="1"/>
  <c r="G302" i="10"/>
  <c r="H302" i="10" l="1"/>
  <c r="I303" i="10" s="1"/>
  <c r="F303" i="10" l="1"/>
  <c r="G303" i="10"/>
  <c r="H303" i="10" l="1"/>
  <c r="I304" i="10" s="1"/>
  <c r="G304" i="10" s="1"/>
  <c r="F304" i="10" l="1"/>
  <c r="H304" i="10" s="1"/>
  <c r="I305" i="10" s="1"/>
  <c r="G305" i="10" s="1"/>
  <c r="F305" i="10" l="1"/>
  <c r="H305" i="10" s="1"/>
  <c r="I306" i="10" s="1"/>
  <c r="F306" i="10" l="1"/>
  <c r="G306" i="10"/>
  <c r="H306" i="10" l="1"/>
  <c r="I307" i="10" s="1"/>
  <c r="G307" i="10" s="1"/>
  <c r="F307" i="10" l="1"/>
  <c r="H307" i="10" s="1"/>
  <c r="I308" i="10" s="1"/>
  <c r="G308" i="10" l="1"/>
  <c r="F308" i="10"/>
  <c r="H308" i="10" l="1"/>
  <c r="I309" i="10" s="1"/>
  <c r="G309" i="10" s="1"/>
  <c r="F309" i="10" l="1"/>
  <c r="H309" i="10" s="1"/>
  <c r="I310" i="10" s="1"/>
  <c r="G310" i="10" s="1"/>
  <c r="F310" i="10" l="1"/>
  <c r="H310" i="10" s="1"/>
  <c r="I311" i="10" s="1"/>
  <c r="F311" i="10" l="1"/>
  <c r="G311" i="10"/>
  <c r="H311" i="10" l="1"/>
  <c r="I312" i="10" s="1"/>
  <c r="G312" i="10" l="1"/>
  <c r="F312" i="10"/>
  <c r="H312" i="10" l="1"/>
  <c r="I313" i="10" s="1"/>
  <c r="F313" i="10" s="1"/>
  <c r="G313" i="10" l="1"/>
  <c r="H313" i="10" s="1"/>
  <c r="I314" i="10" s="1"/>
  <c r="G314" i="10" l="1"/>
  <c r="F314" i="10"/>
  <c r="H314" i="10" l="1"/>
  <c r="I315" i="10" s="1"/>
  <c r="F315" i="10" l="1"/>
  <c r="G315" i="10"/>
  <c r="H315" i="10" l="1"/>
  <c r="I316" i="10" s="1"/>
  <c r="F316" i="10" l="1"/>
  <c r="G316" i="10"/>
  <c r="H316" i="10" l="1"/>
  <c r="I317" i="10" s="1"/>
  <c r="G317" i="10" s="1"/>
  <c r="F317" i="10" l="1"/>
  <c r="H317" i="10" s="1"/>
  <c r="I318" i="10" s="1"/>
  <c r="G318" i="10" l="1"/>
  <c r="F318" i="10"/>
  <c r="H318" i="10" l="1"/>
  <c r="I319" i="10" s="1"/>
  <c r="F319" i="10" s="1"/>
  <c r="G319" i="10" l="1"/>
  <c r="H319" i="10" s="1"/>
  <c r="I320" i="10" s="1"/>
  <c r="F320" i="10" l="1"/>
  <c r="G320" i="10"/>
  <c r="H320" i="10" l="1"/>
  <c r="I321" i="10" s="1"/>
  <c r="F321" i="10" s="1"/>
  <c r="G321" i="10" l="1"/>
  <c r="H321" i="10" s="1"/>
  <c r="I322" i="10" s="1"/>
  <c r="F322" i="10" l="1"/>
  <c r="G322" i="10"/>
  <c r="H322" i="10" l="1"/>
  <c r="I323" i="10" s="1"/>
  <c r="F323" i="10" s="1"/>
  <c r="G323" i="10" l="1"/>
  <c r="H323" i="10" s="1"/>
  <c r="I324" i="10" s="1"/>
  <c r="F324" i="10" s="1"/>
  <c r="G324" i="10" l="1"/>
  <c r="H324" i="10" s="1"/>
  <c r="I325" i="10" s="1"/>
  <c r="F325" i="10" s="1"/>
  <c r="G325" i="10" l="1"/>
  <c r="H325" i="10" s="1"/>
  <c r="I326" i="10" s="1"/>
  <c r="F326" i="10" s="1"/>
  <c r="G326" i="10" l="1"/>
  <c r="H326" i="10" s="1"/>
  <c r="I327" i="10" s="1"/>
  <c r="G327" i="10" s="1"/>
  <c r="F327" i="10" l="1"/>
  <c r="H327" i="10" s="1"/>
  <c r="I328" i="10" s="1"/>
  <c r="F328" i="10" l="1"/>
  <c r="G328" i="10"/>
  <c r="H328" i="10" l="1"/>
  <c r="I329" i="10" s="1"/>
  <c r="F329" i="10" s="1"/>
  <c r="G329" i="10" l="1"/>
  <c r="H329" i="10" s="1"/>
  <c r="I330" i="10" s="1"/>
  <c r="G330" i="10" s="1"/>
  <c r="F330" i="10" l="1"/>
  <c r="H330" i="10" s="1"/>
  <c r="I331" i="10" s="1"/>
  <c r="F331" i="10" l="1"/>
  <c r="G331" i="10"/>
  <c r="H331" i="10" l="1"/>
  <c r="I332" i="10" s="1"/>
  <c r="F332" i="10" s="1"/>
  <c r="G332" i="10" l="1"/>
  <c r="H332" i="10" s="1"/>
  <c r="I333" i="10" s="1"/>
  <c r="F333" i="10" s="1"/>
  <c r="G333" i="10" l="1"/>
  <c r="H333" i="10" s="1"/>
  <c r="I334" i="10" s="1"/>
  <c r="F334" i="10" l="1"/>
  <c r="G334" i="10"/>
  <c r="H334" i="10" l="1"/>
  <c r="I335" i="10" s="1"/>
  <c r="G335" i="10" l="1"/>
  <c r="F335" i="10"/>
  <c r="H335" i="10" l="1"/>
  <c r="I336" i="10" s="1"/>
  <c r="F336" i="10" l="1"/>
  <c r="G336" i="10"/>
  <c r="H336" i="10" l="1"/>
  <c r="I337" i="10" s="1"/>
  <c r="G337" i="10" s="1"/>
  <c r="F337" i="10" l="1"/>
  <c r="H337" i="10" s="1"/>
  <c r="I338" i="10" s="1"/>
  <c r="F338" i="10" l="1"/>
  <c r="G338" i="10"/>
  <c r="H338" i="10" l="1"/>
  <c r="I339" i="10" s="1"/>
  <c r="G339" i="10" s="1"/>
  <c r="F339" i="10" l="1"/>
  <c r="H339" i="10" s="1"/>
  <c r="I340" i="10" s="1"/>
  <c r="F340" i="10" l="1"/>
  <c r="G340" i="10"/>
  <c r="H340" i="10" l="1"/>
  <c r="I341" i="10" s="1"/>
  <c r="F341" i="10" s="1"/>
  <c r="G341" i="10" l="1"/>
  <c r="H341" i="10" s="1"/>
  <c r="I342" i="10" s="1"/>
  <c r="G342" i="10" l="1"/>
  <c r="F342" i="10"/>
  <c r="H342" i="10" l="1"/>
  <c r="I343" i="10" s="1"/>
  <c r="F343" i="10" l="1"/>
  <c r="G343" i="10"/>
  <c r="H343" i="10" l="1"/>
  <c r="I344" i="10" s="1"/>
  <c r="G344" i="10" l="1"/>
  <c r="F344" i="10"/>
  <c r="H344" i="10" l="1"/>
  <c r="I345" i="10" s="1"/>
  <c r="F345" i="10" l="1"/>
  <c r="G345" i="10"/>
  <c r="H345" i="10" l="1"/>
  <c r="I346" i="10" s="1"/>
  <c r="F346" i="10" l="1"/>
  <c r="G346" i="10"/>
  <c r="H346" i="10" l="1"/>
  <c r="I347" i="10" s="1"/>
  <c r="F347" i="10" l="1"/>
  <c r="G347" i="10"/>
  <c r="H347" i="10" l="1"/>
  <c r="I348" i="10" s="1"/>
  <c r="F348" i="10" l="1"/>
  <c r="G348" i="10"/>
  <c r="H348" i="10" l="1"/>
  <c r="I349" i="10" s="1"/>
  <c r="G349" i="10" l="1"/>
  <c r="F349" i="10"/>
  <c r="H349" i="10" l="1"/>
  <c r="I350" i="10" s="1"/>
  <c r="F350" i="10" l="1"/>
  <c r="G350" i="10"/>
  <c r="H350" i="10" l="1"/>
  <c r="I351" i="10" s="1"/>
  <c r="F351" i="10" l="1"/>
  <c r="G351" i="10"/>
  <c r="H351" i="10" l="1"/>
  <c r="I352" i="10" s="1"/>
  <c r="G352" i="10" s="1"/>
  <c r="F352" i="10" l="1"/>
  <c r="H352" i="10" s="1"/>
  <c r="I353" i="10" s="1"/>
  <c r="F353" i="10" l="1"/>
  <c r="G353" i="10"/>
  <c r="H353" i="10" l="1"/>
  <c r="I354" i="10" s="1"/>
  <c r="G354" i="10" l="1"/>
  <c r="F354" i="10"/>
  <c r="H354" i="10" l="1"/>
  <c r="I355" i="10" s="1"/>
  <c r="F355" i="10" l="1"/>
  <c r="G355" i="10"/>
  <c r="H355" i="10" l="1"/>
  <c r="I356" i="10" s="1"/>
  <c r="F356" i="10" l="1"/>
  <c r="G356" i="10"/>
  <c r="H356" i="10" l="1"/>
  <c r="I357" i="10" s="1"/>
  <c r="F357" i="10" s="1"/>
  <c r="G357" i="10" l="1"/>
  <c r="H357" i="10" s="1"/>
  <c r="I358" i="10" s="1"/>
  <c r="G358" i="10" s="1"/>
  <c r="F358" i="10" l="1"/>
  <c r="H358" i="10" s="1"/>
  <c r="I359" i="10" s="1"/>
  <c r="F359" i="10" l="1"/>
  <c r="G359" i="10"/>
  <c r="H359" i="10" l="1"/>
  <c r="I360" i="10" s="1"/>
  <c r="F360" i="10" s="1"/>
  <c r="G360" i="10" l="1"/>
  <c r="H360" i="10" s="1"/>
  <c r="I361" i="10" s="1"/>
  <c r="G361" i="10" l="1"/>
  <c r="F361" i="10"/>
  <c r="H361" i="10" l="1"/>
  <c r="I362" i="10" s="1"/>
  <c r="G362" i="10" s="1"/>
  <c r="F362" i="10" l="1"/>
  <c r="H362" i="10" s="1"/>
  <c r="I363" i="10" s="1"/>
  <c r="F363" i="10" s="1"/>
  <c r="G363" i="10" l="1"/>
  <c r="H363" i="10" s="1"/>
  <c r="I364" i="10" s="1"/>
  <c r="F364" i="10" s="1"/>
  <c r="G364" i="10" l="1"/>
  <c r="H364" i="10" s="1"/>
  <c r="I365" i="10" s="1"/>
  <c r="F365" i="10" l="1"/>
  <c r="G365" i="10"/>
  <c r="H365" i="10" l="1"/>
  <c r="I366" i="10" s="1"/>
  <c r="F366" i="10" s="1"/>
  <c r="G366" i="10" l="1"/>
  <c r="H366" i="10" s="1"/>
  <c r="I367" i="10" s="1"/>
  <c r="G367" i="10" s="1"/>
  <c r="F367" i="10" l="1"/>
  <c r="H367" i="10" s="1"/>
  <c r="I368" i="10" s="1"/>
  <c r="G368" i="10" l="1"/>
  <c r="F368" i="10"/>
  <c r="H368" i="10" l="1"/>
  <c r="I369" i="10" s="1"/>
  <c r="G369" i="10" l="1"/>
  <c r="F369" i="10"/>
  <c r="H369" i="10" l="1"/>
  <c r="I370" i="10" s="1"/>
  <c r="G370" i="10" l="1"/>
  <c r="F370" i="10"/>
  <c r="H370" i="10" l="1"/>
  <c r="I371" i="10" s="1"/>
  <c r="F371" i="10" s="1"/>
  <c r="G371" i="10" l="1"/>
  <c r="H371" i="10" s="1"/>
  <c r="I372" i="10" s="1"/>
  <c r="G372" i="10" l="1"/>
  <c r="F372" i="10"/>
  <c r="H372" i="10" l="1"/>
  <c r="I373" i="10" s="1"/>
  <c r="F373" i="10" s="1"/>
  <c r="G373" i="10" l="1"/>
  <c r="H373" i="10" s="1"/>
  <c r="I374" i="10" s="1"/>
  <c r="G374" i="10" l="1"/>
  <c r="F374" i="10"/>
  <c r="H374" i="10" l="1"/>
  <c r="I375" i="10" s="1"/>
  <c r="G375" i="10" s="1"/>
  <c r="F375" i="10" l="1"/>
  <c r="H375" i="10" s="1"/>
  <c r="I376" i="10" s="1"/>
  <c r="G376" i="10" s="1"/>
  <c r="F376" i="10" l="1"/>
  <c r="H376" i="10" s="1"/>
  <c r="I377" i="10" s="1"/>
  <c r="F377" i="10" s="1"/>
  <c r="G377" i="10" l="1"/>
  <c r="H377" i="10" s="1"/>
  <c r="I378" i="10" s="1"/>
  <c r="G378" i="10" s="1"/>
  <c r="F378" i="10" l="1"/>
  <c r="H378" i="10" s="1"/>
  <c r="I379" i="10" s="1"/>
  <c r="F379" i="10" l="1"/>
  <c r="G379" i="10"/>
  <c r="H379" i="10" l="1"/>
  <c r="I380" i="10" s="1"/>
  <c r="F380" i="10" l="1"/>
  <c r="G380" i="10"/>
  <c r="H380" i="10" l="1"/>
  <c r="I381" i="10" s="1"/>
  <c r="F381" i="10" l="1"/>
  <c r="G381" i="10"/>
  <c r="H381" i="10" l="1"/>
  <c r="I382" i="10" s="1"/>
  <c r="F382" i="10" s="1"/>
  <c r="G382" i="10" l="1"/>
  <c r="H382" i="10" s="1"/>
  <c r="I383" i="10" s="1"/>
  <c r="G383" i="10" s="1"/>
  <c r="F383" i="10" l="1"/>
  <c r="H383" i="10" s="1"/>
  <c r="I384" i="10" s="1"/>
  <c r="F384" i="10" l="1"/>
  <c r="G384" i="10"/>
  <c r="H384" i="10" l="1"/>
  <c r="I385" i="10" s="1"/>
  <c r="F385" i="10" l="1"/>
  <c r="G385" i="10"/>
  <c r="H385" i="10" l="1"/>
  <c r="I386" i="10" s="1"/>
  <c r="F386" i="10" s="1"/>
  <c r="G386" i="10" l="1"/>
  <c r="H386" i="10" s="1"/>
  <c r="I387" i="10" s="1"/>
  <c r="F387" i="10" s="1"/>
  <c r="G387" i="10" l="1"/>
  <c r="H387" i="10" s="1"/>
  <c r="I388" i="10" s="1"/>
  <c r="F388" i="10" s="1"/>
  <c r="G388" i="10" l="1"/>
  <c r="H388" i="10" s="1"/>
  <c r="I389" i="10" s="1"/>
  <c r="F389" i="10" s="1"/>
  <c r="G389" i="10" l="1"/>
  <c r="H389" i="10" s="1"/>
  <c r="I390" i="10" s="1"/>
  <c r="G390" i="10" s="1"/>
  <c r="F390" i="10" l="1"/>
  <c r="H390" i="10" s="1"/>
  <c r="I391" i="10" s="1"/>
  <c r="F391" i="10" s="1"/>
  <c r="G391" i="10" l="1"/>
  <c r="H391" i="10" s="1"/>
  <c r="I392" i="10" s="1"/>
  <c r="F392" i="10" l="1"/>
  <c r="G392" i="10"/>
  <c r="H392" i="10" l="1"/>
  <c r="I393" i="10" s="1"/>
  <c r="F393" i="10" l="1"/>
  <c r="G393" i="10"/>
  <c r="H393" i="10" l="1"/>
  <c r="I394" i="10" s="1"/>
  <c r="F394" i="10" l="1"/>
  <c r="G394" i="10"/>
  <c r="H394" i="10" l="1"/>
  <c r="I395" i="10" s="1"/>
  <c r="F395" i="10" s="1"/>
  <c r="G395" i="10" l="1"/>
  <c r="H395" i="10" s="1"/>
  <c r="I396" i="10" s="1"/>
  <c r="F396" i="10" s="1"/>
  <c r="G396" i="10" l="1"/>
  <c r="H396" i="10" s="1"/>
  <c r="I397" i="10" s="1"/>
  <c r="G397" i="10" s="1"/>
  <c r="F397" i="10" l="1"/>
  <c r="H397" i="10" s="1"/>
  <c r="I398" i="10" s="1"/>
  <c r="F398" i="10" s="1"/>
  <c r="G398" i="10" l="1"/>
  <c r="H398" i="10" s="1"/>
  <c r="I399" i="10" s="1"/>
  <c r="F399" i="10" l="1"/>
  <c r="G399" i="10"/>
  <c r="H399" i="10" l="1"/>
  <c r="I400" i="10" s="1"/>
  <c r="G400" i="10" s="1"/>
  <c r="F400" i="10" l="1"/>
  <c r="H400" i="10" s="1"/>
  <c r="I401" i="10" s="1"/>
  <c r="F401" i="10" s="1"/>
  <c r="G401" i="10" l="1"/>
  <c r="H401" i="10" s="1"/>
  <c r="I402" i="10" s="1"/>
  <c r="F402" i="10" s="1"/>
  <c r="G402" i="10" l="1"/>
  <c r="H402" i="10" s="1"/>
  <c r="I403" i="10" s="1"/>
  <c r="G403" i="10" s="1"/>
  <c r="F403" i="10" l="1"/>
  <c r="H403" i="10" s="1"/>
  <c r="I404" i="10" s="1"/>
  <c r="F404" i="10" s="1"/>
  <c r="G404" i="10" l="1"/>
  <c r="H404" i="10" s="1"/>
  <c r="I405" i="10" s="1"/>
  <c r="G405" i="10" l="1"/>
  <c r="F405" i="10"/>
  <c r="H405" i="10" l="1"/>
  <c r="I406" i="10" s="1"/>
  <c r="F406" i="10" s="1"/>
  <c r="G406" i="10" l="1"/>
  <c r="H406" i="10" s="1"/>
  <c r="I407" i="10" s="1"/>
  <c r="F407" i="10" s="1"/>
  <c r="G407" i="10" l="1"/>
  <c r="H407" i="10" s="1"/>
  <c r="I408" i="10" s="1"/>
  <c r="G408" i="10" s="1"/>
  <c r="F408" i="10" l="1"/>
  <c r="H408" i="10" s="1"/>
  <c r="I409" i="10" s="1"/>
  <c r="G409" i="10" s="1"/>
  <c r="F409" i="10" l="1"/>
  <c r="H409" i="10" s="1"/>
  <c r="I410" i="10" s="1"/>
  <c r="G410" i="10" s="1"/>
  <c r="F410" i="10" l="1"/>
  <c r="H410" i="10" s="1"/>
  <c r="I411" i="10" s="1"/>
  <c r="F411" i="10" s="1"/>
  <c r="G411" i="10" l="1"/>
  <c r="H411" i="10" s="1"/>
  <c r="I412" i="10" s="1"/>
  <c r="F412" i="10" l="1"/>
  <c r="G412" i="10"/>
  <c r="H412" i="10" l="1"/>
  <c r="I413" i="10" s="1"/>
  <c r="G413" i="10" s="1"/>
  <c r="F413" i="10" l="1"/>
  <c r="H413" i="10" s="1"/>
  <c r="I414" i="10" s="1"/>
  <c r="F414" i="10" l="1"/>
  <c r="G414" i="10"/>
  <c r="H414" i="10" l="1"/>
  <c r="I415" i="10" s="1"/>
  <c r="F415" i="10" s="1"/>
  <c r="G415" i="10" l="1"/>
  <c r="H415" i="10" s="1"/>
  <c r="I416" i="10" s="1"/>
  <c r="F416" i="10" s="1"/>
  <c r="G416" i="10" l="1"/>
  <c r="H416" i="10" s="1"/>
  <c r="I417" i="10" s="1"/>
  <c r="F417" i="10" s="1"/>
  <c r="G417" i="10" l="1"/>
  <c r="H417" i="10" s="1"/>
  <c r="I418" i="10" s="1"/>
  <c r="G418" i="10" s="1"/>
  <c r="F418" i="10" l="1"/>
  <c r="H418" i="10" s="1"/>
  <c r="I419" i="10" s="1"/>
  <c r="F419" i="10" l="1"/>
  <c r="G419" i="10"/>
  <c r="H419" i="10" l="1"/>
  <c r="I420" i="10" s="1"/>
  <c r="F420" i="10" s="1"/>
  <c r="G420" i="10" l="1"/>
  <c r="H420" i="10" s="1"/>
  <c r="I421" i="10" s="1"/>
  <c r="G421" i="10" s="1"/>
  <c r="F421" i="10" l="1"/>
  <c r="H421" i="10" s="1"/>
  <c r="I422" i="10" s="1"/>
  <c r="F422" i="10" s="1"/>
  <c r="G422" i="10" l="1"/>
  <c r="H422" i="10" s="1"/>
  <c r="I423" i="10" s="1"/>
  <c r="G423" i="10" s="1"/>
  <c r="F423" i="10" l="1"/>
  <c r="H423" i="10" s="1"/>
  <c r="I424" i="10" s="1"/>
  <c r="G424" i="10" s="1"/>
  <c r="F424" i="10" l="1"/>
  <c r="H424" i="10" s="1"/>
  <c r="I425" i="10" s="1"/>
  <c r="F425" i="10" l="1"/>
  <c r="G425" i="10"/>
  <c r="H425" i="10" l="1"/>
  <c r="I426" i="10" s="1"/>
  <c r="G426" i="10" s="1"/>
  <c r="F426" i="10" l="1"/>
  <c r="H426" i="10" s="1"/>
  <c r="I427" i="10" s="1"/>
  <c r="F427" i="10" l="1"/>
  <c r="G427" i="10"/>
  <c r="H427" i="10" l="1"/>
  <c r="I428" i="10" s="1"/>
  <c r="F428" i="10" l="1"/>
  <c r="G428" i="10"/>
  <c r="H428" i="10" l="1"/>
  <c r="I429" i="10" s="1"/>
  <c r="F429" i="10" l="1"/>
  <c r="G429" i="10"/>
  <c r="H429" i="10" l="1"/>
  <c r="I430" i="10" s="1"/>
  <c r="F430" i="10" s="1"/>
  <c r="G430" i="10" l="1"/>
  <c r="H430" i="10" s="1"/>
  <c r="I431" i="10" s="1"/>
  <c r="F431" i="10" l="1"/>
  <c r="G431" i="10"/>
  <c r="H431" i="10" l="1"/>
  <c r="I432" i="10" s="1"/>
  <c r="F432" i="10" s="1"/>
  <c r="G432" i="10" l="1"/>
  <c r="H432" i="10" s="1"/>
  <c r="I433" i="10" s="1"/>
  <c r="F433" i="10" s="1"/>
  <c r="G433" i="10" l="1"/>
  <c r="H433" i="10" s="1"/>
  <c r="I434" i="10" s="1"/>
  <c r="G434" i="10" l="1"/>
  <c r="F434" i="10"/>
  <c r="H434" i="10" l="1"/>
  <c r="I435" i="10" s="1"/>
  <c r="F435" i="10" s="1"/>
  <c r="G435" i="10" l="1"/>
  <c r="H435" i="10" s="1"/>
  <c r="I436" i="10" s="1"/>
  <c r="F436" i="10" s="1"/>
  <c r="G436" i="10" l="1"/>
  <c r="H436" i="10" s="1"/>
  <c r="I437" i="10" s="1"/>
  <c r="F437" i="10" l="1"/>
  <c r="G437" i="10"/>
  <c r="H437" i="10" l="1"/>
  <c r="I438" i="10" s="1"/>
  <c r="F438" i="10" s="1"/>
  <c r="G438" i="10" l="1"/>
  <c r="H438" i="10" s="1"/>
  <c r="I439" i="10" s="1"/>
  <c r="F439" i="10" l="1"/>
  <c r="G439" i="10"/>
  <c r="H439" i="10" l="1"/>
  <c r="I440" i="10" s="1"/>
  <c r="F440" i="10" l="1"/>
  <c r="G440" i="10"/>
  <c r="H440" i="10" l="1"/>
  <c r="I441" i="10" s="1"/>
  <c r="G441" i="10" l="1"/>
  <c r="F441" i="10"/>
  <c r="H441" i="10" l="1"/>
  <c r="I442" i="10" s="1"/>
  <c r="F442" i="10" l="1"/>
  <c r="G442" i="10"/>
  <c r="H442" i="10" l="1"/>
  <c r="I443" i="10" s="1"/>
  <c r="G443" i="10" l="1"/>
  <c r="F443" i="10"/>
  <c r="H443" i="10" l="1"/>
  <c r="I444" i="10" s="1"/>
  <c r="F444" i="10" l="1"/>
  <c r="G444" i="10"/>
  <c r="H444" i="10" l="1"/>
  <c r="I445" i="10" s="1"/>
  <c r="G445" i="10" s="1"/>
  <c r="F445" i="10" l="1"/>
  <c r="H445" i="10" s="1"/>
  <c r="I446" i="10" s="1"/>
  <c r="F446" i="10" s="1"/>
  <c r="G446" i="10" l="1"/>
  <c r="H446" i="10" s="1"/>
  <c r="I447" i="10" s="1"/>
  <c r="G447" i="10" s="1"/>
  <c r="F447" i="10" l="1"/>
  <c r="H447" i="10" s="1"/>
  <c r="I448" i="10" s="1"/>
  <c r="H449" i="10"/>
  <c r="G448" i="10" l="1"/>
  <c r="F448" i="10"/>
  <c r="H44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Шакиров Азат Наилевич</author>
    <author>tc={13057CC2-33B4-4077-BCDC-285D7BF10213}</author>
    <author>tc={4EFE689A-A799-4AF9-9560-C4DCA1A62695}</author>
  </authors>
  <commentList>
    <comment ref="C4" authorId="0" shapeId="0" xr:uid="{6D06BE38-0A29-4D2E-818B-AAC894048D83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C6" authorId="0" shapeId="0" xr:uid="{092D653C-51C5-450F-AD1A-2795C56C4ED4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C8" authorId="0" shapeId="0" xr:uid="{9AC96BC6-A1A3-4833-97E3-E0832A84FA21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C11" authorId="1" shapeId="0" xr:uid="{13057CC2-33B4-4077-BCDC-285D7BF10213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Объекты ФСК -3%
ДСК - 2% 
Клиент от ГК ФСК - 1,5%</t>
        </r>
      </text>
    </comment>
    <comment ref="B37" authorId="2" shapeId="0" xr:uid="{4EFE689A-A799-4AF9-9560-C4DCA1A62695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Облагаются НДС, если реализуется жилой дом, не сданный в эксплуатацию.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Шакиров Азат Наилевич</author>
    <author>tc={C27EACD5-13F7-48E5-9DC3-5DB1AA69D388}</author>
    <author>tc={199339D7-D865-4EC4-BFBC-6A8FFC7C0B82}</author>
    <author>tc={62CD9414-D97B-4F69-AA2F-96ECA7ED1C44}</author>
  </authors>
  <commentList>
    <comment ref="C4" authorId="0" shapeId="0" xr:uid="{B5E43335-4DC0-4B5E-A38A-E4F413A6C05F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W4" authorId="0" shapeId="0" xr:uid="{7B51F2C6-BBD9-4A0F-B8BD-3D61D8775F2B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C6" authorId="0" shapeId="0" xr:uid="{989BDF95-8F67-4A94-9732-2BC928CF488F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W6" authorId="0" shapeId="0" xr:uid="{94BE79EC-E40A-44D2-A13C-2695B4B74D86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C8" authorId="0" shapeId="0" xr:uid="{44BC8A7F-CF97-4734-90D4-E5B83EDEF06C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W8" authorId="0" shapeId="0" xr:uid="{026A0041-F5E2-4F9E-85D1-D3F0468B25C8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C11" authorId="1" shapeId="0" xr:uid="{C27EACD5-13F7-48E5-9DC3-5DB1AA69D388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Объекты ФСК -3%
ДСК - 2% 
Клиент от ГК ФСК - 1,5%</t>
        </r>
      </text>
    </comment>
    <comment ref="G11" authorId="2" shapeId="0" xr:uid="{199339D7-D865-4EC4-BFBC-6A8FFC7C0B82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Объекты ФСК -3%
ДСК - 2% 
Клиент от ГК ФСК - 1,5%</t>
        </r>
      </text>
    </comment>
    <comment ref="B37" authorId="3" shapeId="0" xr:uid="{62CD9414-D97B-4F69-AA2F-96ECA7ED1C44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Облагаются НДС, если реализуется жилой дом, не сданный в эксплуатацию.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Шакиров Азат Наилевич</author>
    <author>tc={8A21D349-AD86-4318-B871-AB028FDD02B5}</author>
    <author>tc={91C6713D-5F87-4A32-8BC1-F2CBAF6AE4C1}</author>
  </authors>
  <commentList>
    <comment ref="C4" authorId="0" shapeId="0" xr:uid="{DED36A4B-75C6-406A-96B6-9BAE2153BA82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M4" authorId="0" shapeId="0" xr:uid="{9C32ED5B-C989-4E0B-A17B-D5012940983D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C6" authorId="0" shapeId="0" xr:uid="{AE84F363-C2FB-490E-89D8-086BE94F1D56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M6" authorId="0" shapeId="0" xr:uid="{EF33A0C0-0D61-4121-A7C9-12518ACD3A2E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C8" authorId="0" shapeId="0" xr:uid="{1B207AF7-2D2F-4FFA-9FAA-359529E8B86B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M8" authorId="0" shapeId="0" xr:uid="{FF734CEC-FEC5-4608-879C-23458FCF4E70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C11" authorId="1" shapeId="0" xr:uid="{8A21D349-AD86-4318-B871-AB028FDD02B5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Объекты ФСК -3%
ДСК - 2% 
Клиент от ГК ФСК - 1,5%</t>
        </r>
      </text>
    </comment>
    <comment ref="B37" authorId="2" shapeId="0" xr:uid="{91C6713D-5F87-4A32-8BC1-F2CBAF6AE4C1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Облагаются НДС, если реализуется жилой дом, не сданный в эксплуатацию.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Шакиров Азат Наилевич</author>
  </authors>
  <commentList>
    <comment ref="C4" authorId="0" shapeId="0" xr:uid="{DCB8EEA7-0DF5-4F78-B0F4-4261D47299F3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C5" authorId="0" shapeId="0" xr:uid="{1B97E748-DA8F-40DA-84B2-41ADFB066E11}">
      <text>
        <r>
          <rPr>
            <b/>
            <sz val="9"/>
            <color indexed="81"/>
            <rFont val="Tahoma"/>
            <family val="2"/>
            <charset val="204"/>
          </rPr>
          <t>Стоимость бронирования: 
через сайт 25 000 (бизнес-класс) 15 000 (комфорт-класс)
на бумаге 50 000 (бизнес-класс) 30 000 (комфорт-класс)</t>
        </r>
      </text>
    </comment>
    <comment ref="C6" authorId="0" shapeId="0" xr:uid="{D6332024-44D6-4814-844D-E37E977ED092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C8" authorId="0" shapeId="0" xr:uid="{4FB65DD8-71C7-446C-963B-B06DA4355490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C9" authorId="0" shapeId="0" xr:uid="{C606AFAE-CADA-4301-AFCC-DD9FB4F1DE72}">
      <text>
        <r>
          <rPr>
            <b/>
            <sz val="9"/>
            <color indexed="81"/>
            <rFont val="Tahoma"/>
            <family val="2"/>
            <charset val="204"/>
          </rPr>
          <t>Отказ от СЭР, не зарплатник и др.</t>
        </r>
      </text>
    </comment>
  </commentList>
</comments>
</file>

<file path=xl/sharedStrings.xml><?xml version="1.0" encoding="utf-8"?>
<sst xmlns="http://schemas.openxmlformats.org/spreadsheetml/2006/main" count="1119" uniqueCount="400">
  <si>
    <t>ПВ 15%</t>
  </si>
  <si>
    <t>КВ 4%</t>
  </si>
  <si>
    <t>Прайс</t>
  </si>
  <si>
    <t>ВТБ бонус</t>
  </si>
  <si>
    <t>Тинькофф у Самолета</t>
  </si>
  <si>
    <t>Предложение по КВ Тинькофф исходя от НДС ВТБ</t>
  </si>
  <si>
    <t>Тинькофф</t>
  </si>
  <si>
    <t>КВ от стоимости квартиры</t>
  </si>
  <si>
    <t>КВ 10% 
(без НДС)</t>
  </si>
  <si>
    <t>НДС 20% 
(без КВ)</t>
  </si>
  <si>
    <t>Размер затрат на НДС от стоимости квартиры</t>
  </si>
  <si>
    <t>Прайсовая цена квартиры</t>
  </si>
  <si>
    <t>Стоимость бронирования (ДБ)</t>
  </si>
  <si>
    <t>Общий размер скидки</t>
  </si>
  <si>
    <t>Первоначальный взнос</t>
  </si>
  <si>
    <t>Срок кредита, мес.</t>
  </si>
  <si>
    <t>Надбавка к ставке по ипотеке</t>
  </si>
  <si>
    <t>Апартаменты Да/Нет</t>
  </si>
  <si>
    <t>Нет</t>
  </si>
  <si>
    <t xml:space="preserve">Ставка </t>
  </si>
  <si>
    <t xml:space="preserve">Сумма кредита </t>
  </si>
  <si>
    <t>Наценка</t>
  </si>
  <si>
    <t>Ежемесячный платеж</t>
  </si>
  <si>
    <t>Наценка в руб</t>
  </si>
  <si>
    <t>Стоимость с учетом наценки</t>
  </si>
  <si>
    <t>Проверка</t>
  </si>
  <si>
    <t>НДС</t>
  </si>
  <si>
    <t>Перевод через Мульти Бонус</t>
  </si>
  <si>
    <t>Наценка от прайса</t>
  </si>
  <si>
    <t>Расход по сделке</t>
  </si>
  <si>
    <t>Сумма кредита</t>
  </si>
  <si>
    <t>Скидка</t>
  </si>
  <si>
    <t>Наценка в %</t>
  </si>
  <si>
    <r>
      <rPr>
        <sz val="11"/>
        <color rgb="FFFF6600"/>
        <rFont val="Verdana"/>
        <family val="2"/>
        <charset val="204"/>
      </rPr>
      <t xml:space="preserve">Кешбэк Мультибонус
</t>
    </r>
    <r>
      <rPr>
        <sz val="8"/>
        <color theme="0"/>
        <rFont val="Verdana"/>
        <family val="2"/>
        <charset val="204"/>
      </rPr>
      <t xml:space="preserve">
Пр: Выплачивает еж. платежи + НДС 20% сверху</t>
    </r>
  </si>
  <si>
    <t>Сумма кешбэка</t>
  </si>
  <si>
    <t>Процент наценки к кешбэку</t>
  </si>
  <si>
    <t xml:space="preserve">Кешбэк платеда на срок </t>
  </si>
  <si>
    <t>Сумма кешбэка с НДС</t>
  </si>
  <si>
    <t>Процент кешбэка на суммы кредита</t>
  </si>
  <si>
    <t>Сумма кешбэка за минусом НДФЛ
ОЗВУЧИВАЕМ КЛИЕНТУ</t>
  </si>
  <si>
    <t>Сумма кешбэка (КВ банку)</t>
  </si>
  <si>
    <t>Выгода клиента</t>
  </si>
  <si>
    <t xml:space="preserve">Разница в еж. платеже </t>
  </si>
  <si>
    <t>Первоначальный взнос в %</t>
  </si>
  <si>
    <t>&lt;---заполнять одно из двух---&gt;</t>
  </si>
  <si>
    <t>Первоначальный взнос (в руб.)</t>
  </si>
  <si>
    <t>Первоначальный взнос (в %)</t>
  </si>
  <si>
    <t>Заполнять без учета ДБ!</t>
  </si>
  <si>
    <t xml:space="preserve">Кешбэк Нмаркета
</t>
  </si>
  <si>
    <t>Сумма налога, которую оплачивает клиент</t>
  </si>
  <si>
    <t xml:space="preserve">Сумма первоначального взноса без кешбэка </t>
  </si>
  <si>
    <t>Сумма кредита без кешбэк</t>
  </si>
  <si>
    <t>Ежемесячный платеж без кешбэк</t>
  </si>
  <si>
    <t>Наценка в руб при кешбэк</t>
  </si>
  <si>
    <t>Окупаемость кешбэк (в мес)</t>
  </si>
  <si>
    <t>Окупаемость кешбэк (год)</t>
  </si>
  <si>
    <t>Процент наценки за кешбэк</t>
  </si>
  <si>
    <t>Сумма кешбэка (размер ПВ)</t>
  </si>
  <si>
    <t>Стоимость с учетом наценки (Цена ДУПТ от Нмаркет)</t>
  </si>
  <si>
    <t xml:space="preserve">Выгода за счет наценки на стоимость лота </t>
  </si>
  <si>
    <t xml:space="preserve">КВ полученное от Клиента </t>
  </si>
  <si>
    <t xml:space="preserve">Итого </t>
  </si>
  <si>
    <t>Наценка в % (утверженная Нмаркетом)</t>
  </si>
  <si>
    <t>Наценка в руб зв кешбэк</t>
  </si>
  <si>
    <t>Наценка в руб за кешбэк</t>
  </si>
  <si>
    <t>Наценка в 0, с ФЭД согласована 20%</t>
  </si>
  <si>
    <t>Налог на прибыль 20%</t>
  </si>
  <si>
    <t>НДС 20%</t>
  </si>
  <si>
    <t>Чистая прибыль Нмаркета</t>
  </si>
  <si>
    <t>Налоговая база</t>
  </si>
  <si>
    <t>Постоянные расходы</t>
  </si>
  <si>
    <t>Переменные расходы:
Комиссия за перевод банка 3,5% за перечисления д/с</t>
  </si>
  <si>
    <t>В лимитах КД</t>
  </si>
  <si>
    <t>Общий размер скидки для рынка (в лиминат КД)</t>
  </si>
  <si>
    <t>Выгода Нмаркет (предположительно)</t>
  </si>
  <si>
    <t xml:space="preserve">Упрощенка </t>
  </si>
  <si>
    <t>Почему компания на НДС ???</t>
  </si>
  <si>
    <t>Кол-во сделок, которые можно провести по упрощенке</t>
  </si>
  <si>
    <t>Доп. скидки вместо выплаты КВ агенту за привлечение клиента (ср. КВ за реализацию проекта)</t>
  </si>
  <si>
    <t>Скидка от застройщика за программу + сидка вместо выплаты КВ АН</t>
  </si>
  <si>
    <t>Доп. скидка ГК ФСК за использование программы Нмаркет</t>
  </si>
  <si>
    <r>
      <t xml:space="preserve">Цена покупки квартиры </t>
    </r>
    <r>
      <rPr>
        <b/>
        <sz val="8"/>
        <color theme="0"/>
        <rFont val="Verdana"/>
        <family val="2"/>
        <charset val="204"/>
      </rPr>
      <t xml:space="preserve">КЛИЕНТОМ </t>
    </r>
    <r>
      <rPr>
        <sz val="8"/>
        <color theme="0"/>
        <rFont val="Verdana"/>
        <family val="2"/>
        <charset val="204"/>
      </rPr>
      <t>при стандартной схеме</t>
    </r>
  </si>
  <si>
    <r>
      <t xml:space="preserve">Цена покупки квартиры </t>
    </r>
    <r>
      <rPr>
        <b/>
        <sz val="8"/>
        <color theme="0"/>
        <rFont val="Verdana"/>
        <family val="2"/>
        <charset val="204"/>
      </rPr>
      <t xml:space="preserve">Нмаркетом </t>
    </r>
    <r>
      <rPr>
        <sz val="8"/>
        <color theme="0"/>
        <rFont val="Verdana"/>
        <family val="2"/>
        <charset val="204"/>
      </rPr>
      <t>(ДДУ)</t>
    </r>
  </si>
  <si>
    <t>Выплата комиссионного вознаграждения агенту за привлечение клиента</t>
  </si>
  <si>
    <r>
      <t xml:space="preserve">Кешбэк от ГК ФСК </t>
    </r>
    <r>
      <rPr>
        <b/>
        <sz val="11"/>
        <color rgb="FFFF0000"/>
        <rFont val="Verdana"/>
        <family val="2"/>
        <charset val="204"/>
      </rPr>
      <t>c уплатой НДФЛ</t>
    </r>
  </si>
  <si>
    <r>
      <rPr>
        <sz val="11"/>
        <color rgb="FFFF6600"/>
        <rFont val="Verdana"/>
        <family val="2"/>
        <charset val="204"/>
      </rPr>
      <t xml:space="preserve">Кешбэк Ак Барса
 </t>
    </r>
    <r>
      <rPr>
        <sz val="8"/>
        <color theme="0"/>
        <rFont val="Verdana"/>
        <family val="2"/>
        <charset val="204"/>
      </rPr>
      <t xml:space="preserve">
Пр: Выплачивает еж. платежи за минусом НДФЛ 13% (15%)</t>
    </r>
  </si>
  <si>
    <r>
      <rPr>
        <sz val="11"/>
        <color theme="1" tint="0.14999847407452621"/>
        <rFont val="Verdana"/>
        <family val="2"/>
        <charset val="204"/>
      </rPr>
      <t xml:space="preserve">Кешбэк Ак Барса
 </t>
    </r>
    <r>
      <rPr>
        <sz val="8"/>
        <color theme="1" tint="0.14999847407452621"/>
        <rFont val="Verdana"/>
        <family val="2"/>
        <charset val="204"/>
      </rPr>
      <t xml:space="preserve">
Пр: Выплачивает еж. платежи за минусом НДФЛ 13% (15%)</t>
    </r>
  </si>
  <si>
    <t xml:space="preserve">Кешбэк платежи на срок </t>
  </si>
  <si>
    <t>НДФЛ</t>
  </si>
  <si>
    <t>Сумма кредита без кэшбэк</t>
  </si>
  <si>
    <t>Ежемесячный платеж без кэшбэк</t>
  </si>
  <si>
    <t>Сумма кэшбек с учетом НДФЛ/Полная сумма Кэшбек</t>
  </si>
  <si>
    <t>Сумма кешбэка с НДФЛ</t>
  </si>
  <si>
    <t>Процент кешбэка на сумму кредита</t>
  </si>
  <si>
    <t>Наценка в руб при кэшбэк</t>
  </si>
  <si>
    <t>Процент КВ</t>
  </si>
  <si>
    <t>Окупаемость кэшбэк (в мес)</t>
  </si>
  <si>
    <t>Окупаемость кэшбэк (год)</t>
  </si>
  <si>
    <t>Кешбэк от ГК ФСК (НДФЛ на клиенте)</t>
  </si>
  <si>
    <t>https://calc.nmarket.pro/43dsCls</t>
  </si>
  <si>
    <t>Ссылка на калькулятор Нмаркет "План Б"</t>
  </si>
  <si>
    <t>Кэшбэк к ПВ</t>
  </si>
  <si>
    <t xml:space="preserve">Стоимость с учетом скидки </t>
  </si>
  <si>
    <t>Общий размер скидки за вычетом не предоставленной скидки за счет упланы НДФЛ</t>
  </si>
  <si>
    <t xml:space="preserve">Общий размер скидки </t>
  </si>
  <si>
    <t xml:space="preserve">Сумма непредоставленной скидки в часть выплаты НДФЛ </t>
  </si>
  <si>
    <t>Сумма НДФЛ</t>
  </si>
  <si>
    <t xml:space="preserve">Прибыль ГК ФСК за счет непредоставленной скидки </t>
  </si>
  <si>
    <t>В лимите КД</t>
  </si>
  <si>
    <t>Сумма к выплате клиенту</t>
  </si>
  <si>
    <t>Фиксированная наценка 21% (далее на утверждение финансистов)</t>
  </si>
  <si>
    <t>проверочно</t>
  </si>
  <si>
    <t>размер ПВ, ячейка D22 (повтор)</t>
  </si>
  <si>
    <t>Пояснения:
15% ПВ, наценка - 17,65%, наценка от ФЭД - 20%
20% ПВ, наценка - 25%, наценка от ФЭД - 28%</t>
  </si>
  <si>
    <t xml:space="preserve">Стоимость квартиры с учетом скидки </t>
  </si>
  <si>
    <t xml:space="preserve">мах. стоимость квартиры для возможности приобрести кв. в рамках гос. программы с суммой кредита 12 млн. </t>
  </si>
  <si>
    <t xml:space="preserve">мах. стоимость квартиры для возможности приобрести кв. в рамках ИТ программы с суммой кредита 18 млн. </t>
  </si>
  <si>
    <t>ПОДСКАЗКИ</t>
  </si>
  <si>
    <t>Прибыль ГК ФСК</t>
  </si>
  <si>
    <t>Пояснения наценок (справочно для ФЭД):
15% ПВ, наценка - 17,65%, наценка от ФЭД - 20%
20% ПВ, наценка - 25%, наценка от ФЭД - 28%</t>
  </si>
  <si>
    <t>Какая мах. стоимость квартиры м.б. при мах. скедке, указанной в ячейке D3</t>
  </si>
  <si>
    <t>Акция "Без первого взноса" (Кешбэк от Застройщика)</t>
  </si>
  <si>
    <t>Расположение ЖК</t>
  </si>
  <si>
    <t>Московская область</t>
  </si>
  <si>
    <t>Прайсовая цена</t>
  </si>
  <si>
    <t>Размер возможной типовой скидки</t>
  </si>
  <si>
    <t>Максимальный срок</t>
  </si>
  <si>
    <t>Максимальная сумма кредита</t>
  </si>
  <si>
    <r>
      <t xml:space="preserve">Эксклюзивные </t>
    </r>
    <r>
      <rPr>
        <b/>
        <sz val="18"/>
        <color indexed="63"/>
        <rFont val="Verdana"/>
        <family val="2"/>
        <charset val="204"/>
      </rPr>
      <t>программы кредитования от ГК ФСК</t>
    </r>
  </si>
  <si>
    <t>Расчет программы кредитования</t>
  </si>
  <si>
    <t>Стоимость прайс</t>
  </si>
  <si>
    <t>Стоимость бронирования</t>
  </si>
  <si>
    <t>Скидка, с ограниченным сроком действия</t>
  </si>
  <si>
    <t>Стандартная ипотека</t>
  </si>
  <si>
    <t>Стоимость в договоре</t>
  </si>
  <si>
    <t>Сумма кредита, руб.</t>
  </si>
  <si>
    <t>Ставка, % годовых</t>
  </si>
  <si>
    <t>Срок кредитования (мес./год)</t>
  </si>
  <si>
    <t xml:space="preserve">Платеж </t>
  </si>
  <si>
    <t>Платеж (после льготного периода)</t>
  </si>
  <si>
    <t xml:space="preserve">Переплата по кредиту </t>
  </si>
  <si>
    <t>Расчет предварительный. Точная ставка и сумма кредита будет определена при оформлении кредитного договора</t>
  </si>
  <si>
    <t>Страхование (от суммы кредита) оплачивается ежегодно (пролонгация на остаток задолженности по кредиту)</t>
  </si>
  <si>
    <r>
      <rPr>
        <b/>
        <sz val="12"/>
        <color rgb="FFFF0000"/>
        <rFont val="Verdana"/>
        <family val="2"/>
        <charset val="204"/>
      </rPr>
      <t xml:space="preserve">ДДУ, ПДКП: Страхование жизни </t>
    </r>
    <r>
      <rPr>
        <b/>
        <sz val="12"/>
        <color theme="1"/>
        <rFont val="Verdana"/>
        <family val="2"/>
        <charset val="204"/>
      </rPr>
      <t xml:space="preserve">
(от 0,5% от суммы кредита)</t>
    </r>
  </si>
  <si>
    <r>
      <rPr>
        <b/>
        <sz val="12"/>
        <color rgb="FFFF0000"/>
        <rFont val="Verdana"/>
        <family val="2"/>
        <charset val="204"/>
      </rPr>
      <t xml:space="preserve">ДКП: Жизнь/Имущество/Титул </t>
    </r>
    <r>
      <rPr>
        <b/>
        <sz val="12"/>
        <color theme="1"/>
        <rFont val="Verdana"/>
        <family val="2"/>
        <charset val="204"/>
      </rPr>
      <t xml:space="preserve">
(от 0,7% от суммы кредита)</t>
    </r>
  </si>
  <si>
    <t xml:space="preserve">Расходы по сделке </t>
  </si>
  <si>
    <t>График погашения</t>
  </si>
  <si>
    <t>Номер месяца</t>
  </si>
  <si>
    <t>Дата платежа</t>
  </si>
  <si>
    <t>Размер платежа</t>
  </si>
  <si>
    <t>В погашение процентов</t>
  </si>
  <si>
    <t>В погашение долга</t>
  </si>
  <si>
    <t>Остаток долга после платежа</t>
  </si>
  <si>
    <t>Программа кредитования</t>
  </si>
  <si>
    <t>Госпрограмма</t>
  </si>
  <si>
    <t>ИТ-ипотека</t>
  </si>
  <si>
    <t>Семейная ипотека</t>
  </si>
  <si>
    <t>Прайс - скидка + Наценка - ДБ</t>
  </si>
  <si>
    <t>Стоимость с учетом наценки за вычетом ДБ</t>
  </si>
  <si>
    <t>Минимальный первоначальный взнос по программе в %</t>
  </si>
  <si>
    <t>Первоначальный взнос вносимый клиентом</t>
  </si>
  <si>
    <t>Первоначальный взнос вносимый Застройщиком за клиента</t>
  </si>
  <si>
    <t>Наценка для клиента</t>
  </si>
  <si>
    <t>Расчет наценки в 0 (справочно для ФЭД)</t>
  </si>
  <si>
    <t>Первоначальный взнос в рамках программы кредитования</t>
  </si>
  <si>
    <t>Проверка стоимости после округления</t>
  </si>
  <si>
    <t>ПВ 5%</t>
  </si>
  <si>
    <t>ПВ 10%</t>
  </si>
  <si>
    <t>Объект</t>
  </si>
  <si>
    <t>Корпус</t>
  </si>
  <si>
    <t>Срок сдачи по ПД</t>
  </si>
  <si>
    <t>Срок передачи по ПД</t>
  </si>
  <si>
    <t>Итого наценка</t>
  </si>
  <si>
    <t>Объект недвижимости</t>
  </si>
  <si>
    <t xml:space="preserve">Южная Битца </t>
  </si>
  <si>
    <t xml:space="preserve">Датский </t>
  </si>
  <si>
    <t>корп. 11</t>
  </si>
  <si>
    <t>корп. 12</t>
  </si>
  <si>
    <t>корп. 3.1.</t>
  </si>
  <si>
    <t>корп. 4.1.</t>
  </si>
  <si>
    <t>корп. 2</t>
  </si>
  <si>
    <t>корп. 1</t>
  </si>
  <si>
    <t>корп. 1.2.</t>
  </si>
  <si>
    <t xml:space="preserve">1-й Лермонтовский </t>
  </si>
  <si>
    <t xml:space="preserve">1-й Южный </t>
  </si>
  <si>
    <t xml:space="preserve">1-й Донской </t>
  </si>
  <si>
    <t xml:space="preserve">1-й Шереметьевский </t>
  </si>
  <si>
    <t>Объект + корпус</t>
  </si>
  <si>
    <t>корп. 1.</t>
  </si>
  <si>
    <t>Первоначальный взнос (в руб.) с ДБ для проверки CRM</t>
  </si>
  <si>
    <t>Первоначальный взнос (в %) с ДБ для проверки CRM</t>
  </si>
  <si>
    <t>Текущая логика расчет
Прайс - % - ДБ + Наценка</t>
  </si>
  <si>
    <t>Изменения в СРМ, которые необходимо произвести при согласовании новой логики расчета итоговой стоимости</t>
  </si>
  <si>
    <t>Срок акции (начало)</t>
  </si>
  <si>
    <t>Срок акции
 (конец)</t>
  </si>
  <si>
    <t xml:space="preserve">1-й Ленинградский </t>
  </si>
  <si>
    <t>корп. 4</t>
  </si>
  <si>
    <t>1-й Шереметьевский</t>
  </si>
  <si>
    <t xml:space="preserve"> корп. 2</t>
  </si>
  <si>
    <t>Лэйк</t>
  </si>
  <si>
    <t xml:space="preserve"> корп. 1</t>
  </si>
  <si>
    <t>Скай Гарден</t>
  </si>
  <si>
    <t>Сидней Сити</t>
  </si>
  <si>
    <t xml:space="preserve"> корп. 5.1</t>
  </si>
  <si>
    <t xml:space="preserve"> корп. 5.2</t>
  </si>
  <si>
    <t>корп. 7</t>
  </si>
  <si>
    <t>корп. 8</t>
  </si>
  <si>
    <t>финал акции без продления</t>
  </si>
  <si>
    <t>Комментари</t>
  </si>
  <si>
    <t>финал акции 30.11. без продления</t>
  </si>
  <si>
    <t>корп. 2.</t>
  </si>
  <si>
    <t>корп. 5.1.</t>
  </si>
  <si>
    <t>корп. 6</t>
  </si>
  <si>
    <t>Размер Кэшбэка</t>
  </si>
  <si>
    <t>ПВ 20%</t>
  </si>
  <si>
    <t>1-й Ленинградский корп. 6</t>
  </si>
  <si>
    <t>Южная Битца корп. 7</t>
  </si>
  <si>
    <t>Южная Битца корп. 8</t>
  </si>
  <si>
    <t>Вар2</t>
  </si>
  <si>
    <t/>
  </si>
  <si>
    <t>Ставка Вариант 1</t>
  </si>
  <si>
    <t>Ставка Вариант 2</t>
  </si>
  <si>
    <t>Ставка Вариант 2.2.</t>
  </si>
  <si>
    <t>Ставка Вариант 3</t>
  </si>
  <si>
    <t>Ставка Вариант 4</t>
  </si>
  <si>
    <t>Ставка Вариант 5</t>
  </si>
  <si>
    <t>1-й Донской корп. 1.</t>
  </si>
  <si>
    <t>1-й Донской корп. 2.</t>
  </si>
  <si>
    <t>1-й Лермонтовский корп. 5.1.</t>
  </si>
  <si>
    <t>1-й Шереметьевский корп. 1</t>
  </si>
  <si>
    <t>1-й Шереметьевский корп. 2</t>
  </si>
  <si>
    <t>1-й Южный корп. 1.2.</t>
  </si>
  <si>
    <t>1-й Южный корп. 2.</t>
  </si>
  <si>
    <t>Лэйк корп. 1</t>
  </si>
  <si>
    <t>Скай Гарден корп. 1</t>
  </si>
  <si>
    <t>Сидней Сити корп. 5.1</t>
  </si>
  <si>
    <t>Сидней Сити корп. 5.2</t>
  </si>
  <si>
    <t>1-й Лермонтовский корп. 4.1.</t>
  </si>
  <si>
    <t>Датский корп. 2</t>
  </si>
  <si>
    <t>Южная Битца корп. 11</t>
  </si>
  <si>
    <t>Южная Битца корп. 12</t>
  </si>
  <si>
    <t>1-й Лермонтовский корп. 3.1.</t>
  </si>
  <si>
    <t>1-й Ленинградский корп. 4</t>
  </si>
  <si>
    <t>13.11.2023 акция закончилась</t>
  </si>
  <si>
    <t>13.11.2023  акция закончилась</t>
  </si>
  <si>
    <t xml:space="preserve">13.11.2023
 продление акции до 30.11. </t>
  </si>
  <si>
    <t>13.11.2023 продление акции до 30.11</t>
  </si>
  <si>
    <t>Пояснения наценок (справочно для ФЭД):
5% ПВ, наценка - 5,26%, наценка от ФЭД - 6,3%
10% ПВ, наценка - 11,11%, наценка от ФЭД - 12,4%
15% ПВ, наценка - 17,65%, наценка от ФЭД - 20%
20% ПВ, наценка - 25%, наценка от ФЭД - 28%</t>
  </si>
  <si>
    <t xml:space="preserve">Банк </t>
  </si>
  <si>
    <t>Альфа банк</t>
  </si>
  <si>
    <t>Акбарс банк</t>
  </si>
  <si>
    <t>ИТ</t>
  </si>
  <si>
    <t>Госпрограмма 2020</t>
  </si>
  <si>
    <t>Комиссия банка</t>
  </si>
  <si>
    <t>Ставка</t>
  </si>
  <si>
    <t>Абсолют</t>
  </si>
  <si>
    <t>нет</t>
  </si>
  <si>
    <t>Наценка в % кэшбэк</t>
  </si>
  <si>
    <t>Выпадающий список МИКС да/нет</t>
  </si>
  <si>
    <t>1-й Донской корп. 4.</t>
  </si>
  <si>
    <t>1-й Измайловский</t>
  </si>
  <si>
    <t xml:space="preserve"> корп.1, корп.2</t>
  </si>
  <si>
    <t>1-й Измайловский, корп.1, корп.2</t>
  </si>
  <si>
    <t>корп. 3</t>
  </si>
  <si>
    <t>1-й Шереметьевский корп. 3</t>
  </si>
  <si>
    <t>Справочно для ФЭД</t>
  </si>
  <si>
    <t>Расчетная наценка суммуруемая с размером КВ</t>
  </si>
  <si>
    <t>Комиссия банка в %</t>
  </si>
  <si>
    <t xml:space="preserve">Комиссия банка в руб </t>
  </si>
  <si>
    <t>Компенсация расходов ГК ФСК за Кэшбэк</t>
  </si>
  <si>
    <t>Справочно</t>
  </si>
  <si>
    <t>корп. 1.3.</t>
  </si>
  <si>
    <t>1-й Южный корп. 1.3</t>
  </si>
  <si>
    <t>прайс – скидка + наценка за кэшбэк + наценка за субсид. – ДБ.</t>
  </si>
  <si>
    <t xml:space="preserve">Вариант программы </t>
  </si>
  <si>
    <t>Процент Кэшбэка</t>
  </si>
  <si>
    <t>Расчетная наценка от размера Первого взноса</t>
  </si>
  <si>
    <t>Наценка по субсидированию итоговая При ПВ,  вносимый клиентов - 0%</t>
  </si>
  <si>
    <t>Прибыль за Кэшбэк без субсидирования и без потреба от БФЖ</t>
  </si>
  <si>
    <t>Изначальные наченки от ФЭ</t>
  </si>
  <si>
    <t>к наценкам ФЭД необходимо добавить доп. 1% для Кэшбэк 2.0. (Потреб от БЖФ)</t>
  </si>
  <si>
    <t>Первоначальный взнос вносимый клиентом (без учета ДБ)</t>
  </si>
  <si>
    <t>Субсидированная ипотека да/нет</t>
  </si>
  <si>
    <t>Наценка для иного банка</t>
  </si>
  <si>
    <t>Стоимость с учетом наценки за вычетом ДБ в рамках Кэшбэк (стандартная)</t>
  </si>
  <si>
    <t>МТС</t>
  </si>
  <si>
    <t>выбыл из-за отказа выдачи ипотеки без наличия ПВ</t>
  </si>
  <si>
    <t>Промсвязьбанк (без суб.)</t>
  </si>
  <si>
    <t>Комба ипотека</t>
  </si>
  <si>
    <t>да, без субсидирвоания, мин. сумма кредита 
12 150 000</t>
  </si>
  <si>
    <r>
      <rPr>
        <b/>
        <sz val="9"/>
        <color rgb="FFFF0000"/>
        <rFont val="Calibri"/>
        <family val="2"/>
        <charset val="204"/>
        <scheme val="minor"/>
      </rPr>
      <t xml:space="preserve">
ИТ на СТОП
</t>
    </r>
    <r>
      <rPr>
        <b/>
        <sz val="9"/>
        <color theme="1"/>
        <rFont val="Calibri"/>
        <family val="2"/>
        <charset val="204"/>
        <scheme val="minor"/>
      </rPr>
      <t>да, без субсидирвоания, мин. сумма кредита 
12 150 000</t>
    </r>
  </si>
  <si>
    <r>
      <rPr>
        <b/>
        <sz val="9"/>
        <color rgb="FFFF0000"/>
        <rFont val="Calibri"/>
        <family val="2"/>
        <charset val="204"/>
        <scheme val="minor"/>
      </rPr>
      <t>на СТОП с 12.02</t>
    </r>
    <r>
      <rPr>
        <b/>
        <sz val="9"/>
        <color theme="1"/>
        <rFont val="Calibri"/>
        <family val="2"/>
        <charset val="204"/>
        <scheme val="minor"/>
      </rPr>
      <t xml:space="preserve">
да, без субсидирвоания, мин. сумма кредита 
12 000 001</t>
    </r>
  </si>
  <si>
    <t xml:space="preserve"> Редактировать вручную</t>
  </si>
  <si>
    <t>ИТОГОВАЯ НАЦЕНКА</t>
  </si>
  <si>
    <t>Наценка в руб за рамках кешбэк</t>
  </si>
  <si>
    <t>При изменении параметров перевыбирать банк</t>
  </si>
  <si>
    <t>Сумма кредита при оплате за клиента ПВ (справочно для расчета наценки)</t>
  </si>
  <si>
    <t>формула изменена</t>
  </si>
  <si>
    <t xml:space="preserve"> </t>
  </si>
  <si>
    <t>проверка в СРМ---&gt;</t>
  </si>
  <si>
    <t>корп. 10</t>
  </si>
  <si>
    <t>Южная Битца корп. 10</t>
  </si>
  <si>
    <t>Банк без субсидирования</t>
  </si>
  <si>
    <t>Олимп</t>
  </si>
  <si>
    <t>корп. 4Г</t>
  </si>
  <si>
    <t>Олимп корп. 4Г</t>
  </si>
  <si>
    <t>Олимп корп. 4В</t>
  </si>
  <si>
    <t>корп. 4В</t>
  </si>
  <si>
    <t>Без учета наценок</t>
  </si>
  <si>
    <t xml:space="preserve">За вычетом наценок, комиссий банку (чистая) </t>
  </si>
  <si>
    <r>
      <rPr>
        <sz val="8"/>
        <rFont val="Verdana"/>
        <family val="2"/>
        <charset val="204"/>
      </rPr>
      <t xml:space="preserve">Разница "чистой" стоимости от прайса, % 
(должна быть с минусом)
</t>
    </r>
    <r>
      <rPr>
        <b/>
        <sz val="8"/>
        <color rgb="FFFF0000"/>
        <rFont val="Verdana"/>
        <family val="2"/>
        <charset val="204"/>
      </rPr>
      <t>Расход по сделке</t>
    </r>
  </si>
  <si>
    <t>1-й Химкинский</t>
  </si>
  <si>
    <t>Движение. Говорово</t>
  </si>
  <si>
    <t>Движение. Говорово корп. 2</t>
  </si>
  <si>
    <t xml:space="preserve"> Справочно (наценка применяется в расчетах в случае субсидирования)</t>
  </si>
  <si>
    <t>корп. 5</t>
  </si>
  <si>
    <t>1-й Донской корп. 5</t>
  </si>
  <si>
    <t>Ак Барс банк</t>
  </si>
  <si>
    <t>Стоимость с учетом наценки за вычетом ДБ в рамках Кэшбэк + субсидирование (при наличии)</t>
  </si>
  <si>
    <t xml:space="preserve">корп. добавлен в оферту при продлении акции с 19.01, продление акции до 20.03.24;до 20.04.24 c доб-ем пула кв-р; до 20.05.2024; до 20.06.2024,до 03.07 </t>
  </si>
  <si>
    <t xml:space="preserve">корп. введен в текущую аферту через продление; до 20.05.2024; до 20.06.2024, до 03.07 </t>
  </si>
  <si>
    <t xml:space="preserve">30.11.2023 продление акции до 20.12., продление акции до 15.01.24, продление акции до 29.01.24,продление акции до 20.03.24;до 20.04.24; до 20.05.2024; до 20.06.2024, до 03.07, до 05.08 </t>
  </si>
  <si>
    <t>возвращен с 18.07.24</t>
  </si>
  <si>
    <t>1-й Донской корп. 1., корп. 2</t>
  </si>
  <si>
    <t>корп. 1, корп. 2</t>
  </si>
  <si>
    <t>Скай Гарден корп. 2</t>
  </si>
  <si>
    <t>31.09.2027</t>
  </si>
  <si>
    <t xml:space="preserve"> корп. 5.1, корп. 5.2</t>
  </si>
  <si>
    <t>Сидней Сити корп. 5.1, корп. 5.2</t>
  </si>
  <si>
    <t>добавляем с 18.07.24</t>
  </si>
  <si>
    <t>Сидней Сити корп.6.1,корп.6.2,корп. 6.3</t>
  </si>
  <si>
    <t>корп. 6.1, корп. 6.2, корп. 6.3</t>
  </si>
  <si>
    <t>1-й Южный корп. 10</t>
  </si>
  <si>
    <t>вдобавлен через изм. в оферту</t>
  </si>
  <si>
    <t>введен в оферту с 08.08.24</t>
  </si>
  <si>
    <t>Парк Апрель</t>
  </si>
  <si>
    <t>проведение пилота</t>
  </si>
  <si>
    <t>корп. 1.3</t>
  </si>
  <si>
    <t>1-й Химкинский корп. 1.3</t>
  </si>
  <si>
    <t>корп. введен через продлении оферты 30.11.23, продление акции до 29.01.24,продление акции до 20.03.24;до 20.04.24; до 20.05.2024, до 05.08.24, до 15.08.24 - финал акции без продления</t>
  </si>
  <si>
    <t>1-й Шереметьевский корп. 4</t>
  </si>
  <si>
    <t>1-й Саларьевский</t>
  </si>
  <si>
    <t>1-й Саларьевский корп. 2</t>
  </si>
  <si>
    <t>Запуск акции с 16.09.2024</t>
  </si>
  <si>
    <t>1-й Ясеневский</t>
  </si>
  <si>
    <t>1-й Ясеневский корп. 3</t>
  </si>
  <si>
    <t xml:space="preserve"> продление акции до 20.12. , продление акции до 15.01.24, продление акции до 29.01.24, продление акции до 20.03.24;до 20.04.24; до 20.05.2024; до 20.06.2024, до 03.07, до 05.08, до 30.08, до 30.09, до 31.10</t>
  </si>
  <si>
    <t>до 31.10</t>
  </si>
  <si>
    <t>до 15.09., до 30.09.,  31.10</t>
  </si>
  <si>
    <t>до 30.09., до 31.10</t>
  </si>
  <si>
    <t>10.12.2023 продление акции до 15.01.24, продление акции до 29.01.24,продление акции до 20.03.24;до 20.04.24; до 20.05.2024; до 20.06.2024, до 03.07, до до 05.08., до 30.09, до 31.10</t>
  </si>
  <si>
    <t>до 30.09., до 30.10</t>
  </si>
  <si>
    <t>до 30.09., до 31.10.</t>
  </si>
  <si>
    <t>13.11.2023 продление акции до 10.12.; продление акции до 15.01., продление акции до 29.01.24, продление акции до 20.03.24;до 20.04.24; до 20.05.2024; до 20.06.2024, до 03.07, до 05.08., до 30.09., до 31.10</t>
  </si>
  <si>
    <t>Запуск акции с 16.04.2024; до 20.06.2024, до 03.07, до 05.08., 31.08., до 30.09., до 31.10</t>
  </si>
  <si>
    <t>до 30.07.24, до 30.08., 30.09., 31.10</t>
  </si>
  <si>
    <t>13.11.2023 продление акции до 10.12.; продление акции до 15.01., продление акции до 29.01.24,продление акции до 20.03.24;до 20.04.24; до 20.05.2024; до 20.06.2024, до 03.07, до 05.08., до 31.08., 30.09., 31.10</t>
  </si>
  <si>
    <t>продление акции до 20.03.24;до 20.04.24; до 20.05.2024; до 20.06.2024, до 03.07, до 05.08., до 31.08., до 30.09., 31.10</t>
  </si>
  <si>
    <t>Жаворонки Клаб</t>
  </si>
  <si>
    <t>Жаворонки Клаб корп. 4</t>
  </si>
  <si>
    <t>Комиссия БЖФ банка за потреб = 2,21%</t>
  </si>
  <si>
    <t>1-й Донской корп. 3</t>
  </si>
  <si>
    <t>Запуск акции с 16.10.2024</t>
  </si>
  <si>
    <t>корп. введен через продлении оферты 30.11.23, продление акции до 29.01.24,продление акции до 20.03.24; до 20.05.2024; до 20.06.2024, до 03.07, до 05.08., до 30.09., до 31.10, завершили</t>
  </si>
  <si>
    <t>акция закрыта с 25.10.2024</t>
  </si>
  <si>
    <t>Запуск акции с 25.09.2024, продление до 30.11.24</t>
  </si>
  <si>
    <t xml:space="preserve"> корп. 3</t>
  </si>
  <si>
    <t>1-й Саларьевский корп. 6</t>
  </si>
  <si>
    <t>корп. 46</t>
  </si>
  <si>
    <t>Парк Апрель корп. 46</t>
  </si>
  <si>
    <t>Добавление корпуса с 01.11.24</t>
  </si>
  <si>
    <t>корп. 1.4</t>
  </si>
  <si>
    <t>1-й Химкинский корп. 1.4</t>
  </si>
  <si>
    <t xml:space="preserve">Промсвязьбанк </t>
  </si>
  <si>
    <t>Дом.РФ</t>
  </si>
  <si>
    <t>акция закрытв 21.11.2024</t>
  </si>
  <si>
    <t>финал акции 26.11.2024</t>
  </si>
  <si>
    <t>до 30.09., до 31.10, до 30.11, до 28.12</t>
  </si>
  <si>
    <t>до 30.11, до 28.12</t>
  </si>
  <si>
    <t>до 30.09, до 31.10, до 30.11, до 28.12</t>
  </si>
  <si>
    <t>Промсвязьбанк</t>
  </si>
  <si>
    <r>
      <t>Дополнительные расходы по ипотеке:</t>
    </r>
    <r>
      <rPr>
        <sz val="14"/>
        <color theme="1"/>
        <rFont val="Verdana"/>
        <family val="2"/>
        <charset val="204"/>
      </rPr>
      <t xml:space="preserve"> </t>
    </r>
  </si>
  <si>
    <t xml:space="preserve">
</t>
  </si>
  <si>
    <r>
      <t xml:space="preserve">1. Аккредитив – до </t>
    </r>
    <r>
      <rPr>
        <b/>
        <sz val="14"/>
        <color theme="1"/>
        <rFont val="Verdana"/>
        <family val="2"/>
        <charset val="204"/>
      </rPr>
      <t>3 500 ₽</t>
    </r>
  </si>
  <si>
    <t>Акция "Бонусная программа от ГК ФСК" (Кешбэк от Застройщика)</t>
  </si>
  <si>
    <t>Проверка убыточности</t>
  </si>
  <si>
    <t>Общая наценка, руб.</t>
  </si>
  <si>
    <t>Расходы по кэшбэку + субсидирование, руб.</t>
  </si>
  <si>
    <t>Прибыль/убыток</t>
  </si>
  <si>
    <t>ВТБ</t>
  </si>
  <si>
    <t>МКБ</t>
  </si>
  <si>
    <t>корп. 3А, 3Б</t>
  </si>
  <si>
    <t>Жаворонки Клаб корп. 3А, 3Б</t>
  </si>
  <si>
    <t>Альфа банк (комбо)</t>
  </si>
  <si>
    <t>Мартемьяново клаб</t>
  </si>
  <si>
    <t xml:space="preserve"> все корп.</t>
  </si>
  <si>
    <t>Мартемьяново клаб  все корп.</t>
  </si>
  <si>
    <t>Газпромбанк</t>
  </si>
  <si>
    <t>да</t>
  </si>
  <si>
    <t>Кэшбэк 2.0 (потреб. кредит)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</si>
</sst>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8" formatCode="#,##0.00\ &quot;₽&quot;;[Red]\-#,##0.00\ &quot;₽&quot;"/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\ _₽_-;\-* #,##0.00\ _₽_-;_-* &quot;-&quot;??\ _₽_-;_-@_-"/>
    <numFmt numFmtId="165" formatCode="0.0%"/>
    <numFmt numFmtId="166" formatCode="0.000000%"/>
    <numFmt numFmtId="167" formatCode="_-* #,##0.00&quot;$&quot;_-;\-* #,##0.00&quot;$&quot;_-;_-* &quot;-&quot;??&quot;$&quot;_-;_-@_-"/>
    <numFmt numFmtId="168" formatCode="#,##0_ ;\-#,##0\ "/>
    <numFmt numFmtId="169" formatCode="0.00000%"/>
    <numFmt numFmtId="170" formatCode="_-* #,##0_-;\-* #,##0_-;_-* &quot;-&quot;??_-;_-@_-"/>
    <numFmt numFmtId="171" formatCode="[$-419]mmmm;@"/>
    <numFmt numFmtId="172" formatCode="_-* #,##0_р_._-;\-* #,##0_р_._-;_-* &quot;-&quot;??_р_._-;_-@_-"/>
    <numFmt numFmtId="173" formatCode="[$-419]d\-mmm\-yyyy;@"/>
    <numFmt numFmtId="174" formatCode="0.0000000%"/>
    <numFmt numFmtId="175" formatCode="#,##0\ &quot;₽&quot;"/>
    <numFmt numFmtId="176" formatCode="#,##0.00\ &quot;₽&quot;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0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color theme="0"/>
      <name val="Verdana"/>
      <family val="2"/>
      <charset val="204"/>
    </font>
    <font>
      <sz val="9"/>
      <name val="Verdana"/>
      <family val="2"/>
      <charset val="204"/>
    </font>
    <font>
      <b/>
      <sz val="9"/>
      <color indexed="81"/>
      <name val="Tahoma"/>
      <family val="2"/>
      <charset val="204"/>
    </font>
    <font>
      <sz val="8"/>
      <name val="Verdana"/>
      <family val="2"/>
      <charset val="204"/>
    </font>
    <font>
      <sz val="11"/>
      <color rgb="FFFF6600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color theme="0" tint="-0.249977111117893"/>
      <name val="Verdana"/>
      <family val="2"/>
      <charset val="204"/>
    </font>
    <font>
      <b/>
      <sz val="8"/>
      <color theme="0" tint="-0.249977111117893"/>
      <name val="Verdana"/>
      <family val="2"/>
      <charset val="204"/>
    </font>
    <font>
      <b/>
      <sz val="9"/>
      <color theme="0"/>
      <name val="Verdana"/>
      <family val="2"/>
      <charset val="204"/>
    </font>
    <font>
      <b/>
      <sz val="8"/>
      <color theme="0"/>
      <name val="Verdana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color theme="7" tint="0.59999389629810485"/>
      <name val="Verdana"/>
      <family val="2"/>
      <charset val="204"/>
    </font>
    <font>
      <sz val="8"/>
      <color theme="1" tint="0.14999847407452621"/>
      <name val="Verdana"/>
      <family val="2"/>
      <charset val="204"/>
    </font>
    <font>
      <sz val="11"/>
      <color theme="0"/>
      <name val="Calibri"/>
      <family val="2"/>
      <scheme val="minor"/>
    </font>
    <font>
      <b/>
      <sz val="8"/>
      <name val="Verdana"/>
      <family val="2"/>
      <charset val="204"/>
    </font>
    <font>
      <sz val="8"/>
      <color rgb="FFFF0000"/>
      <name val="Verdana"/>
      <family val="2"/>
      <charset val="204"/>
    </font>
    <font>
      <b/>
      <sz val="11"/>
      <color rgb="FFFF6600"/>
      <name val="Verdana"/>
      <family val="2"/>
      <charset val="204"/>
    </font>
    <font>
      <b/>
      <sz val="9"/>
      <color rgb="FFFF6600"/>
      <name val="Verdana"/>
      <family val="2"/>
      <charset val="204"/>
    </font>
    <font>
      <b/>
      <sz val="9"/>
      <color rgb="FF92D050"/>
      <name val="Verdana"/>
      <family val="2"/>
      <charset val="204"/>
    </font>
    <font>
      <b/>
      <sz val="8"/>
      <color rgb="FF92D050"/>
      <name val="Verdana"/>
      <family val="2"/>
      <charset val="204"/>
    </font>
    <font>
      <b/>
      <sz val="11"/>
      <color rgb="FFFF0000"/>
      <name val="Verdana"/>
      <family val="2"/>
      <charset val="204"/>
    </font>
    <font>
      <sz val="11"/>
      <color theme="1" tint="0.14999847407452621"/>
      <name val="Verdana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8"/>
      <color theme="1"/>
      <name val="Verdana"/>
      <family val="2"/>
      <charset val="204"/>
    </font>
    <font>
      <b/>
      <sz val="8"/>
      <color rgb="FFFF6600"/>
      <name val="Verdana"/>
      <family val="2"/>
      <charset val="204"/>
    </font>
    <font>
      <sz val="11"/>
      <color rgb="FF9C5700"/>
      <name val="Calibri"/>
      <family val="2"/>
      <charset val="204"/>
      <scheme val="minor"/>
    </font>
    <font>
      <sz val="11"/>
      <color theme="1"/>
      <name val="Verdana"/>
      <family val="2"/>
      <charset val="204"/>
    </font>
    <font>
      <b/>
      <sz val="11"/>
      <color rgb="FFAAAAAB"/>
      <name val="Verdana"/>
      <family val="2"/>
      <charset val="204"/>
    </font>
    <font>
      <b/>
      <sz val="11"/>
      <color rgb="FF000000"/>
      <name val="Verdana"/>
      <family val="2"/>
      <charset val="204"/>
    </font>
    <font>
      <sz val="11"/>
      <color rgb="FFAAAAAB"/>
      <name val="Verdana"/>
      <family val="2"/>
      <charset val="204"/>
    </font>
    <font>
      <b/>
      <sz val="18"/>
      <color rgb="FFF15A22"/>
      <name val="Verdana Pro Black"/>
      <family val="2"/>
    </font>
    <font>
      <b/>
      <sz val="18"/>
      <color indexed="63"/>
      <name val="Verdana"/>
      <family val="2"/>
      <charset val="204"/>
    </font>
    <font>
      <sz val="11"/>
      <color rgb="FFF15A22"/>
      <name val="Verdana"/>
      <family val="2"/>
      <charset val="204"/>
    </font>
    <font>
      <b/>
      <sz val="12"/>
      <color rgb="FF000000"/>
      <name val="Verdana"/>
      <family val="2"/>
      <charset val="204"/>
    </font>
    <font>
      <b/>
      <sz val="14"/>
      <color rgb="FFF15A22"/>
      <name val="Verdana Pro Black"/>
      <family val="2"/>
      <charset val="204"/>
    </font>
    <font>
      <b/>
      <sz val="12"/>
      <color theme="0"/>
      <name val="Verdana"/>
      <family val="2"/>
      <charset val="204"/>
    </font>
    <font>
      <b/>
      <sz val="12"/>
      <color theme="1"/>
      <name val="Verdana"/>
      <family val="2"/>
      <charset val="204"/>
    </font>
    <font>
      <b/>
      <sz val="12"/>
      <color rgb="FF000000"/>
      <name val="Verdana Pro Black"/>
      <family val="2"/>
      <charset val="204"/>
    </font>
    <font>
      <sz val="12"/>
      <color rgb="FFE84E0E"/>
      <name val="Verdana Pro Black"/>
      <family val="2"/>
      <charset val="204"/>
    </font>
    <font>
      <b/>
      <sz val="12"/>
      <color rgb="FFF15A22"/>
      <name val="Verdana Pro Black"/>
      <family val="2"/>
      <charset val="204"/>
    </font>
    <font>
      <sz val="11"/>
      <color theme="1"/>
      <name val="Verdana bl"/>
      <charset val="204"/>
    </font>
    <font>
      <b/>
      <sz val="12"/>
      <color rgb="FF000000"/>
      <name val="Verdana bl"/>
      <charset val="204"/>
    </font>
    <font>
      <b/>
      <sz val="12"/>
      <color theme="0"/>
      <name val="Verdana Pro Black"/>
      <family val="2"/>
      <charset val="204"/>
    </font>
    <font>
      <sz val="12"/>
      <color rgb="FF000000"/>
      <name val="Verdana Pro Black"/>
      <family val="2"/>
      <charset val="204"/>
    </font>
    <font>
      <sz val="12"/>
      <color rgb="FF000000"/>
      <name val="Verdana bl"/>
      <charset val="204"/>
    </font>
    <font>
      <sz val="12"/>
      <color rgb="FFF15A22"/>
      <name val="Verdana Pro Black"/>
      <family val="2"/>
      <charset val="204"/>
    </font>
    <font>
      <sz val="11"/>
      <color theme="0"/>
      <name val="Verdana"/>
      <family val="2"/>
      <charset val="204"/>
    </font>
    <font>
      <b/>
      <sz val="12"/>
      <name val="Verdana Pro Black"/>
      <family val="2"/>
      <charset val="204"/>
    </font>
    <font>
      <sz val="11"/>
      <name val="Verdana"/>
      <family val="2"/>
      <charset val="204"/>
    </font>
    <font>
      <b/>
      <sz val="12"/>
      <color rgb="FFFF0000"/>
      <name val="Verdana"/>
      <family val="2"/>
      <charset val="204"/>
    </font>
    <font>
      <b/>
      <sz val="14"/>
      <color theme="1"/>
      <name val="Verdana"/>
      <family val="2"/>
      <charset val="204"/>
    </font>
    <font>
      <sz val="14"/>
      <color theme="1"/>
      <name val="Verdana"/>
      <family val="2"/>
      <charset val="204"/>
    </font>
    <font>
      <b/>
      <sz val="14"/>
      <name val="Verdana"/>
      <family val="2"/>
      <charset val="204"/>
    </font>
    <font>
      <b/>
      <sz val="12"/>
      <name val="Verdana"/>
      <family val="2"/>
      <charset val="204"/>
    </font>
    <font>
      <sz val="10"/>
      <color theme="1"/>
      <name val="Calibri"/>
      <family val="2"/>
      <scheme val="minor"/>
    </font>
    <font>
      <b/>
      <sz val="11"/>
      <color rgb="FFFFFFFF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b/>
      <sz val="9"/>
      <color rgb="FF000000"/>
      <name val="Calibri"/>
      <family val="2"/>
      <charset val="204"/>
    </font>
    <font>
      <b/>
      <sz val="9"/>
      <color rgb="FFFF0000"/>
      <name val="Calibri"/>
      <family val="2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8"/>
      <color rgb="FF00B050"/>
      <name val="Verdana"/>
      <family val="2"/>
      <charset val="204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04"/>
      <scheme val="minor"/>
    </font>
    <font>
      <b/>
      <sz val="9"/>
      <name val="Verdana"/>
      <family val="2"/>
      <charset val="204"/>
    </font>
    <font>
      <sz val="8"/>
      <color theme="1" tint="0.499984740745262"/>
      <name val="Verdana"/>
      <family val="2"/>
      <charset val="204"/>
    </font>
    <font>
      <sz val="8"/>
      <color theme="1" tint="0.499984740745262"/>
      <name val="Calibri"/>
      <family val="2"/>
      <scheme val="minor"/>
    </font>
    <font>
      <b/>
      <sz val="8"/>
      <color rgb="FFFF0000"/>
      <name val="Verdana"/>
      <family val="2"/>
      <charset val="204"/>
    </font>
    <font>
      <b/>
      <sz val="11"/>
      <color theme="0"/>
      <name val="Verdana"/>
      <family val="2"/>
      <charset val="204"/>
    </font>
    <font>
      <sz val="9"/>
      <name val="Calibri"/>
      <family val="2"/>
      <scheme val="minor"/>
    </font>
    <font>
      <sz val="9"/>
      <color rgb="FFFF0000"/>
      <name val="Verdan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202021"/>
        <bgColor indexed="64"/>
      </patternFill>
    </fill>
    <fill>
      <patternFill patternType="solid">
        <fgColor rgb="FFE84E0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  <fill>
      <patternFill patternType="solid">
        <fgColor rgb="FF2020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F15A22"/>
      </bottom>
      <diagonal/>
    </border>
    <border>
      <left/>
      <right/>
      <top style="medium">
        <color rgb="FFF15A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4472C4"/>
      </top>
      <bottom/>
      <diagonal/>
    </border>
    <border>
      <left/>
      <right style="medium">
        <color rgb="FF4472C4"/>
      </right>
      <top style="medium">
        <color rgb="FF4472C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4472C4"/>
      </right>
      <top/>
      <bottom/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medium">
        <color indexed="64"/>
      </top>
      <bottom style="medium">
        <color rgb="FF4472C4"/>
      </bottom>
      <diagonal/>
    </border>
    <border>
      <left/>
      <right/>
      <top style="medium">
        <color indexed="64"/>
      </top>
      <bottom style="medium">
        <color rgb="FF4472C4"/>
      </bottom>
      <diagonal/>
    </border>
    <border>
      <left style="medium">
        <color indexed="64"/>
      </left>
      <right/>
      <top style="medium">
        <color rgb="FF4472C4"/>
      </top>
      <bottom/>
      <diagonal/>
    </border>
    <border>
      <left/>
      <right style="medium">
        <color indexed="64"/>
      </right>
      <top style="medium">
        <color rgb="FF4472C4"/>
      </top>
      <bottom/>
      <diagonal/>
    </border>
    <border>
      <left style="medium">
        <color indexed="64"/>
      </left>
      <right/>
      <top style="medium">
        <color rgb="FF4472C4"/>
      </top>
      <bottom style="medium">
        <color indexed="64"/>
      </bottom>
      <diagonal/>
    </border>
    <border>
      <left/>
      <right/>
      <top style="medium">
        <color rgb="FF4472C4"/>
      </top>
      <bottom style="medium">
        <color indexed="64"/>
      </bottom>
      <diagonal/>
    </border>
    <border>
      <left/>
      <right style="medium">
        <color rgb="FF4472C4"/>
      </right>
      <top style="medium">
        <color rgb="FF4472C4"/>
      </top>
      <bottom style="medium">
        <color indexed="64"/>
      </bottom>
      <diagonal/>
    </border>
    <border>
      <left/>
      <right style="medium">
        <color indexed="64"/>
      </right>
      <top style="medium">
        <color rgb="FF4472C4"/>
      </top>
      <bottom style="medium">
        <color indexed="64"/>
      </bottom>
      <diagonal/>
    </border>
    <border>
      <left/>
      <right style="medium">
        <color rgb="FF4472C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4472C4"/>
      </top>
      <bottom style="medium">
        <color theme="4"/>
      </bottom>
      <diagonal/>
    </border>
    <border>
      <left style="medium">
        <color indexed="64"/>
      </left>
      <right/>
      <top/>
      <bottom style="medium">
        <color rgb="FF4472C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4472C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4472C4"/>
      </top>
      <bottom style="thin">
        <color indexed="64"/>
      </bottom>
      <diagonal/>
    </border>
    <border>
      <left/>
      <right/>
      <top style="medium">
        <color rgb="FF4472C4"/>
      </top>
      <bottom style="thin">
        <color indexed="64"/>
      </bottom>
      <diagonal/>
    </border>
  </borders>
  <cellStyleXfs count="19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2" fillId="0" borderId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562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 wrapText="1"/>
    </xf>
    <xf numFmtId="44" fontId="0" fillId="2" borderId="0" xfId="0" applyNumberFormat="1" applyFill="1" applyAlignment="1">
      <alignment horizontal="center"/>
    </xf>
    <xf numFmtId="165" fontId="0" fillId="2" borderId="0" xfId="2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0" fontId="10" fillId="3" borderId="0" xfId="0" applyFont="1" applyFill="1" applyAlignment="1" applyProtection="1">
      <alignment horizontal="left"/>
      <protection hidden="1"/>
    </xf>
    <xf numFmtId="43" fontId="11" fillId="4" borderId="0" xfId="3" applyFont="1" applyFill="1" applyBorder="1" applyAlignment="1" applyProtection="1">
      <alignment vertical="center"/>
      <protection locked="0"/>
    </xf>
    <xf numFmtId="10" fontId="12" fillId="4" borderId="0" xfId="3" applyNumberFormat="1" applyFont="1" applyFill="1" applyBorder="1" applyAlignment="1" applyProtection="1">
      <alignment vertical="center"/>
      <protection locked="0"/>
    </xf>
    <xf numFmtId="166" fontId="11" fillId="4" borderId="0" xfId="0" applyNumberFormat="1" applyFont="1" applyFill="1" applyAlignment="1" applyProtection="1">
      <alignment vertical="center"/>
      <protection locked="0"/>
    </xf>
    <xf numFmtId="0" fontId="13" fillId="4" borderId="0" xfId="0" applyFont="1" applyFill="1" applyAlignment="1" applyProtection="1">
      <alignment vertical="center"/>
      <protection locked="0"/>
    </xf>
    <xf numFmtId="165" fontId="12" fillId="4" borderId="0" xfId="3" applyNumberFormat="1" applyFont="1" applyFill="1" applyBorder="1" applyAlignment="1" applyProtection="1">
      <alignment vertical="center"/>
      <protection locked="0"/>
    </xf>
    <xf numFmtId="0" fontId="13" fillId="4" borderId="0" xfId="0" applyFont="1" applyFill="1" applyAlignment="1" applyProtection="1">
      <alignment horizontal="right" vertical="center"/>
      <protection locked="0"/>
    </xf>
    <xf numFmtId="0" fontId="15" fillId="3" borderId="0" xfId="0" applyFont="1" applyFill="1" applyAlignment="1" applyProtection="1">
      <alignment horizontal="left"/>
      <protection hidden="1"/>
    </xf>
    <xf numFmtId="10" fontId="10" fillId="3" borderId="0" xfId="2" applyNumberFormat="1" applyFont="1" applyFill="1" applyAlignment="1" applyProtection="1">
      <alignment horizontal="right"/>
      <protection hidden="1"/>
    </xf>
    <xf numFmtId="164" fontId="10" fillId="6" borderId="0" xfId="0" applyNumberFormat="1" applyFont="1" applyFill="1" applyAlignment="1" applyProtection="1">
      <alignment horizontal="left"/>
      <protection hidden="1"/>
    </xf>
    <xf numFmtId="44" fontId="10" fillId="3" borderId="0" xfId="1" applyFont="1" applyFill="1" applyAlignment="1" applyProtection="1">
      <alignment horizontal="right"/>
      <protection hidden="1"/>
    </xf>
    <xf numFmtId="9" fontId="10" fillId="3" borderId="0" xfId="2" applyFont="1" applyFill="1" applyAlignment="1" applyProtection="1">
      <alignment horizontal="right"/>
      <protection hidden="1"/>
    </xf>
    <xf numFmtId="0" fontId="13" fillId="5" borderId="0" xfId="0" applyFont="1" applyFill="1" applyAlignment="1" applyProtection="1">
      <alignment horizontal="right" vertical="center"/>
      <protection locked="0"/>
    </xf>
    <xf numFmtId="44" fontId="10" fillId="7" borderId="0" xfId="1" applyFont="1" applyFill="1" applyAlignment="1" applyProtection="1">
      <alignment horizontal="right"/>
      <protection hidden="1"/>
    </xf>
    <xf numFmtId="0" fontId="10" fillId="3" borderId="0" xfId="0" applyFont="1" applyFill="1" applyAlignment="1" applyProtection="1">
      <alignment horizontal="center"/>
      <protection hidden="1"/>
    </xf>
    <xf numFmtId="8" fontId="10" fillId="3" borderId="0" xfId="1" applyNumberFormat="1" applyFont="1" applyFill="1" applyAlignment="1" applyProtection="1">
      <alignment horizontal="right"/>
      <protection hidden="1"/>
    </xf>
    <xf numFmtId="0" fontId="10" fillId="3" borderId="0" xfId="0" applyFont="1" applyFill="1" applyAlignment="1" applyProtection="1">
      <alignment horizontal="left" wrapText="1"/>
      <protection hidden="1"/>
    </xf>
    <xf numFmtId="0" fontId="18" fillId="3" borderId="0" xfId="0" applyFont="1" applyFill="1" applyProtection="1">
      <protection hidden="1"/>
    </xf>
    <xf numFmtId="0" fontId="10" fillId="3" borderId="0" xfId="0" applyFont="1" applyFill="1" applyAlignment="1" applyProtection="1">
      <alignment horizontal="left" vertical="center"/>
      <protection hidden="1"/>
    </xf>
    <xf numFmtId="166" fontId="19" fillId="3" borderId="0" xfId="2" applyNumberFormat="1" applyFont="1" applyFill="1" applyBorder="1" applyAlignment="1" applyProtection="1">
      <protection hidden="1"/>
    </xf>
    <xf numFmtId="44" fontId="10" fillId="3" borderId="0" xfId="0" applyNumberFormat="1" applyFont="1" applyFill="1" applyAlignment="1" applyProtection="1">
      <alignment horizontal="left"/>
      <protection hidden="1"/>
    </xf>
    <xf numFmtId="0" fontId="25" fillId="3" borderId="0" xfId="0" applyFont="1" applyFill="1" applyAlignment="1" applyProtection="1">
      <alignment horizontal="left"/>
      <protection hidden="1"/>
    </xf>
    <xf numFmtId="43" fontId="12" fillId="4" borderId="0" xfId="3" applyFont="1" applyFill="1" applyBorder="1" applyAlignment="1" applyProtection="1">
      <alignment vertical="center"/>
      <protection locked="0"/>
    </xf>
    <xf numFmtId="0" fontId="26" fillId="0" borderId="0" xfId="0" applyFont="1"/>
    <xf numFmtId="43" fontId="15" fillId="3" borderId="0" xfId="0" applyNumberFormat="1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right"/>
      <protection hidden="1"/>
    </xf>
    <xf numFmtId="10" fontId="15" fillId="3" borderId="0" xfId="2" applyNumberFormat="1" applyFont="1" applyFill="1" applyAlignment="1" applyProtection="1">
      <alignment horizontal="right"/>
      <protection hidden="1"/>
    </xf>
    <xf numFmtId="8" fontId="15" fillId="3" borderId="0" xfId="1" applyNumberFormat="1" applyFont="1" applyFill="1" applyAlignment="1" applyProtection="1">
      <alignment horizontal="right"/>
      <protection hidden="1"/>
    </xf>
    <xf numFmtId="44" fontId="15" fillId="3" borderId="0" xfId="1" applyFont="1" applyFill="1" applyAlignment="1" applyProtection="1">
      <alignment horizontal="right"/>
      <protection hidden="1"/>
    </xf>
    <xf numFmtId="1" fontId="15" fillId="3" borderId="0" xfId="0" applyNumberFormat="1" applyFont="1" applyFill="1" applyAlignment="1" applyProtection="1">
      <alignment horizontal="right"/>
      <protection hidden="1"/>
    </xf>
    <xf numFmtId="166" fontId="27" fillId="3" borderId="0" xfId="2" applyNumberFormat="1" applyFont="1" applyFill="1" applyBorder="1" applyAlignment="1" applyProtection="1">
      <protection hidden="1"/>
    </xf>
    <xf numFmtId="0" fontId="28" fillId="3" borderId="0" xfId="0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left" vertical="center" wrapText="1"/>
      <protection hidden="1"/>
    </xf>
    <xf numFmtId="0" fontId="10" fillId="9" borderId="0" xfId="0" applyFont="1" applyFill="1" applyAlignment="1" applyProtection="1">
      <alignment horizontal="left"/>
      <protection hidden="1"/>
    </xf>
    <xf numFmtId="0" fontId="15" fillId="9" borderId="0" xfId="0" applyFont="1" applyFill="1" applyAlignment="1" applyProtection="1">
      <alignment horizontal="left"/>
      <protection hidden="1"/>
    </xf>
    <xf numFmtId="44" fontId="15" fillId="9" borderId="0" xfId="0" applyNumberFormat="1" applyFont="1" applyFill="1" applyAlignment="1" applyProtection="1">
      <alignment horizontal="left"/>
      <protection hidden="1"/>
    </xf>
    <xf numFmtId="1" fontId="15" fillId="9" borderId="0" xfId="0" applyNumberFormat="1" applyFont="1" applyFill="1" applyAlignment="1" applyProtection="1">
      <alignment horizontal="right"/>
      <protection hidden="1"/>
    </xf>
    <xf numFmtId="0" fontId="15" fillId="9" borderId="0" xfId="0" applyFont="1" applyFill="1" applyAlignment="1" applyProtection="1">
      <alignment horizontal="left" vertical="center"/>
      <protection hidden="1"/>
    </xf>
    <xf numFmtId="0" fontId="15" fillId="9" borderId="0" xfId="0" applyFont="1" applyFill="1" applyAlignment="1" applyProtection="1">
      <alignment horizontal="left" vertical="center" wrapText="1"/>
      <protection hidden="1"/>
    </xf>
    <xf numFmtId="44" fontId="21" fillId="6" borderId="0" xfId="1" applyFont="1" applyFill="1" applyAlignment="1" applyProtection="1">
      <alignment horizontal="left" vertical="center"/>
      <protection hidden="1"/>
    </xf>
    <xf numFmtId="0" fontId="10" fillId="3" borderId="0" xfId="0" applyFont="1" applyFill="1" applyAlignment="1" applyProtection="1">
      <alignment horizontal="right"/>
      <protection hidden="1"/>
    </xf>
    <xf numFmtId="0" fontId="18" fillId="9" borderId="0" xfId="0" applyFont="1" applyFill="1" applyProtection="1">
      <protection hidden="1"/>
    </xf>
    <xf numFmtId="0" fontId="0" fillId="9" borderId="0" xfId="0" applyFill="1"/>
    <xf numFmtId="43" fontId="11" fillId="9" borderId="0" xfId="3" applyFont="1" applyFill="1" applyBorder="1" applyAlignment="1" applyProtection="1">
      <alignment vertical="center"/>
      <protection locked="0"/>
    </xf>
    <xf numFmtId="0" fontId="21" fillId="9" borderId="2" xfId="0" applyFont="1" applyFill="1" applyBorder="1" applyAlignment="1" applyProtection="1">
      <alignment horizontal="left"/>
      <protection hidden="1"/>
    </xf>
    <xf numFmtId="0" fontId="15" fillId="9" borderId="3" xfId="0" applyFont="1" applyFill="1" applyBorder="1" applyAlignment="1" applyProtection="1">
      <alignment horizontal="left"/>
      <protection hidden="1"/>
    </xf>
    <xf numFmtId="0" fontId="10" fillId="9" borderId="4" xfId="0" applyFont="1" applyFill="1" applyBorder="1" applyAlignment="1" applyProtection="1">
      <alignment horizontal="left"/>
      <protection hidden="1"/>
    </xf>
    <xf numFmtId="44" fontId="17" fillId="9" borderId="0" xfId="1" applyFont="1" applyFill="1" applyBorder="1" applyAlignment="1" applyProtection="1">
      <alignment horizontal="right"/>
      <protection hidden="1"/>
    </xf>
    <xf numFmtId="164" fontId="10" fillId="9" borderId="4" xfId="0" applyNumberFormat="1" applyFont="1" applyFill="1" applyBorder="1" applyAlignment="1" applyProtection="1">
      <alignment horizontal="left"/>
      <protection hidden="1"/>
    </xf>
    <xf numFmtId="44" fontId="15" fillId="9" borderId="4" xfId="0" applyNumberFormat="1" applyFont="1" applyFill="1" applyBorder="1" applyAlignment="1" applyProtection="1">
      <alignment horizontal="left"/>
      <protection hidden="1"/>
    </xf>
    <xf numFmtId="8" fontId="15" fillId="9" borderId="0" xfId="1" applyNumberFormat="1" applyFont="1" applyFill="1" applyBorder="1" applyAlignment="1" applyProtection="1">
      <alignment horizontal="right"/>
      <protection hidden="1"/>
    </xf>
    <xf numFmtId="10" fontId="15" fillId="9" borderId="0" xfId="2" applyNumberFormat="1" applyFont="1" applyFill="1" applyBorder="1" applyAlignment="1" applyProtection="1">
      <alignment horizontal="right"/>
      <protection hidden="1"/>
    </xf>
    <xf numFmtId="166" fontId="15" fillId="9" borderId="0" xfId="0" applyNumberFormat="1" applyFont="1" applyFill="1" applyAlignment="1" applyProtection="1">
      <alignment horizontal="right"/>
      <protection hidden="1"/>
    </xf>
    <xf numFmtId="44" fontId="15" fillId="9" borderId="0" xfId="1" applyFont="1" applyFill="1" applyBorder="1" applyAlignment="1" applyProtection="1">
      <alignment horizontal="right"/>
      <protection hidden="1"/>
    </xf>
    <xf numFmtId="44" fontId="21" fillId="6" borderId="0" xfId="1" applyFont="1" applyFill="1" applyBorder="1" applyAlignment="1" applyProtection="1">
      <alignment horizontal="left" vertical="center"/>
      <protection hidden="1"/>
    </xf>
    <xf numFmtId="44" fontId="15" fillId="9" borderId="0" xfId="1" applyFont="1" applyFill="1" applyBorder="1" applyAlignment="1" applyProtection="1">
      <alignment horizontal="right" vertical="center"/>
      <protection hidden="1"/>
    </xf>
    <xf numFmtId="9" fontId="15" fillId="9" borderId="0" xfId="2" applyFont="1" applyFill="1" applyBorder="1" applyAlignment="1" applyProtection="1">
      <alignment horizontal="right" vertical="center"/>
      <protection hidden="1"/>
    </xf>
    <xf numFmtId="0" fontId="10" fillId="9" borderId="3" xfId="0" applyFont="1" applyFill="1" applyBorder="1" applyAlignment="1" applyProtection="1">
      <alignment horizontal="left"/>
      <protection hidden="1"/>
    </xf>
    <xf numFmtId="0" fontId="18" fillId="9" borderId="3" xfId="0" applyFont="1" applyFill="1" applyBorder="1" applyProtection="1">
      <protection hidden="1"/>
    </xf>
    <xf numFmtId="0" fontId="18" fillId="9" borderId="4" xfId="0" applyFont="1" applyFill="1" applyBorder="1" applyProtection="1">
      <protection hidden="1"/>
    </xf>
    <xf numFmtId="0" fontId="10" fillId="9" borderId="1" xfId="0" applyFont="1" applyFill="1" applyBorder="1" applyAlignment="1" applyProtection="1">
      <alignment horizontal="left"/>
      <protection hidden="1"/>
    </xf>
    <xf numFmtId="0" fontId="10" fillId="9" borderId="3" xfId="0" applyFont="1" applyFill="1" applyBorder="1" applyAlignment="1" applyProtection="1">
      <alignment horizontal="left" wrapText="1"/>
      <protection hidden="1"/>
    </xf>
    <xf numFmtId="0" fontId="0" fillId="9" borderId="3" xfId="0" applyFill="1" applyBorder="1"/>
    <xf numFmtId="0" fontId="0" fillId="9" borderId="4" xfId="0" applyFill="1" applyBorder="1"/>
    <xf numFmtId="0" fontId="21" fillId="9" borderId="0" xfId="0" applyFont="1" applyFill="1" applyAlignment="1" applyProtection="1">
      <alignment horizontal="left"/>
      <protection hidden="1"/>
    </xf>
    <xf numFmtId="164" fontId="10" fillId="9" borderId="0" xfId="0" applyNumberFormat="1" applyFont="1" applyFill="1" applyAlignment="1" applyProtection="1">
      <alignment horizontal="left"/>
      <protection hidden="1"/>
    </xf>
    <xf numFmtId="10" fontId="11" fillId="9" borderId="0" xfId="3" applyNumberFormat="1" applyFont="1" applyFill="1" applyBorder="1" applyAlignment="1" applyProtection="1">
      <alignment vertical="center"/>
    </xf>
    <xf numFmtId="10" fontId="11" fillId="9" borderId="0" xfId="0" applyNumberFormat="1" applyFont="1" applyFill="1" applyAlignment="1">
      <alignment vertical="center"/>
    </xf>
    <xf numFmtId="9" fontId="11" fillId="9" borderId="0" xfId="2" applyFont="1" applyFill="1" applyBorder="1" applyAlignment="1" applyProtection="1">
      <alignment vertical="center"/>
    </xf>
    <xf numFmtId="1" fontId="11" fillId="9" borderId="0" xfId="3" applyNumberFormat="1" applyFont="1" applyFill="1" applyBorder="1" applyAlignment="1" applyProtection="1">
      <alignment vertical="center"/>
    </xf>
    <xf numFmtId="10" fontId="11" fillId="9" borderId="0" xfId="2" applyNumberFormat="1" applyFont="1" applyFill="1" applyBorder="1" applyAlignment="1" applyProtection="1">
      <alignment vertical="center"/>
    </xf>
    <xf numFmtId="0" fontId="10" fillId="3" borderId="0" xfId="0" applyFont="1" applyFill="1" applyProtection="1">
      <protection hidden="1"/>
    </xf>
    <xf numFmtId="8" fontId="15" fillId="9" borderId="0" xfId="0" applyNumberFormat="1" applyFont="1" applyFill="1" applyAlignment="1" applyProtection="1">
      <alignment horizontal="right"/>
      <protection hidden="1"/>
    </xf>
    <xf numFmtId="44" fontId="21" fillId="10" borderId="0" xfId="1" applyFont="1" applyFill="1" applyBorder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right" vertical="center"/>
      <protection locked="0"/>
    </xf>
    <xf numFmtId="8" fontId="15" fillId="0" borderId="0" xfId="1" applyNumberFormat="1" applyFont="1" applyFill="1" applyBorder="1" applyAlignment="1" applyProtection="1">
      <alignment horizontal="right" vertical="center"/>
      <protection hidden="1"/>
    </xf>
    <xf numFmtId="164" fontId="10" fillId="3" borderId="0" xfId="0" applyNumberFormat="1" applyFont="1" applyFill="1" applyAlignment="1" applyProtection="1">
      <alignment horizontal="left"/>
      <protection hidden="1"/>
    </xf>
    <xf numFmtId="0" fontId="32" fillId="3" borderId="0" xfId="0" applyFont="1" applyFill="1" applyAlignment="1" applyProtection="1">
      <alignment horizontal="right" vertical="center"/>
      <protection hidden="1"/>
    </xf>
    <xf numFmtId="44" fontId="17" fillId="9" borderId="0" xfId="0" applyNumberFormat="1" applyFont="1" applyFill="1" applyAlignment="1" applyProtection="1">
      <alignment horizontal="left"/>
      <protection hidden="1"/>
    </xf>
    <xf numFmtId="0" fontId="21" fillId="3" borderId="0" xfId="0" applyFont="1" applyFill="1" applyAlignment="1" applyProtection="1">
      <alignment horizontal="left"/>
      <protection hidden="1"/>
    </xf>
    <xf numFmtId="44" fontId="21" fillId="3" borderId="0" xfId="0" applyNumberFormat="1" applyFont="1" applyFill="1" applyAlignment="1" applyProtection="1">
      <alignment horizontal="left"/>
      <protection hidden="1"/>
    </xf>
    <xf numFmtId="0" fontId="28" fillId="9" borderId="0" xfId="0" applyFont="1" applyFill="1" applyAlignment="1" applyProtection="1">
      <alignment horizontal="left"/>
      <protection hidden="1"/>
    </xf>
    <xf numFmtId="168" fontId="10" fillId="3" borderId="0" xfId="0" applyNumberFormat="1" applyFont="1" applyFill="1" applyAlignment="1" applyProtection="1">
      <alignment horizontal="right"/>
      <protection hidden="1"/>
    </xf>
    <xf numFmtId="44" fontId="10" fillId="3" borderId="0" xfId="0" applyNumberFormat="1" applyFont="1" applyFill="1" applyAlignment="1" applyProtection="1">
      <alignment horizontal="left" vertical="center"/>
      <protection hidden="1"/>
    </xf>
    <xf numFmtId="9" fontId="10" fillId="3" borderId="0" xfId="2" applyFont="1" applyFill="1" applyAlignment="1" applyProtection="1">
      <alignment horizontal="center"/>
      <protection hidden="1"/>
    </xf>
    <xf numFmtId="44" fontId="25" fillId="3" borderId="0" xfId="0" applyNumberFormat="1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center" wrapText="1"/>
      <protection hidden="1"/>
    </xf>
    <xf numFmtId="9" fontId="10" fillId="3" borderId="0" xfId="0" applyNumberFormat="1" applyFont="1" applyFill="1" applyAlignment="1" applyProtection="1">
      <alignment horizontal="right" vertical="center"/>
      <protection hidden="1"/>
    </xf>
    <xf numFmtId="0" fontId="10" fillId="3" borderId="0" xfId="0" applyFont="1" applyFill="1" applyAlignment="1" applyProtection="1">
      <alignment horizontal="center" vertical="center" wrapText="1"/>
      <protection hidden="1"/>
    </xf>
    <xf numFmtId="0" fontId="25" fillId="3" borderId="0" xfId="0" applyFont="1" applyFill="1" applyAlignment="1" applyProtection="1">
      <alignment horizontal="left" vertical="center"/>
      <protection hidden="1"/>
    </xf>
    <xf numFmtId="0" fontId="10" fillId="9" borderId="3" xfId="0" applyFont="1" applyFill="1" applyBorder="1" applyAlignment="1" applyProtection="1">
      <alignment horizontal="left" vertical="center"/>
      <protection hidden="1"/>
    </xf>
    <xf numFmtId="0" fontId="17" fillId="9" borderId="0" xfId="0" applyFont="1" applyFill="1" applyAlignment="1" applyProtection="1">
      <alignment horizontal="center" vertical="center"/>
      <protection hidden="1"/>
    </xf>
    <xf numFmtId="0" fontId="10" fillId="9" borderId="4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vertical="center"/>
    </xf>
    <xf numFmtId="165" fontId="10" fillId="3" borderId="0" xfId="0" applyNumberFormat="1" applyFont="1" applyFill="1" applyAlignment="1" applyProtection="1">
      <alignment horizontal="right" vertical="center"/>
      <protection hidden="1"/>
    </xf>
    <xf numFmtId="1" fontId="10" fillId="3" borderId="0" xfId="0" applyNumberFormat="1" applyFont="1" applyFill="1" applyAlignment="1" applyProtection="1">
      <alignment horizontal="right"/>
      <protection hidden="1"/>
    </xf>
    <xf numFmtId="165" fontId="10" fillId="3" borderId="0" xfId="2" applyNumberFormat="1" applyFont="1" applyFill="1" applyAlignment="1" applyProtection="1">
      <alignment horizontal="right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0" fillId="3" borderId="0" xfId="0" applyNumberFormat="1" applyFont="1" applyFill="1" applyAlignment="1" applyProtection="1">
      <alignment horizontal="center" vertical="center"/>
      <protection hidden="1"/>
    </xf>
    <xf numFmtId="9" fontId="15" fillId="3" borderId="0" xfId="2" applyFont="1" applyFill="1" applyAlignment="1" applyProtection="1">
      <alignment horizontal="right"/>
      <protection hidden="1"/>
    </xf>
    <xf numFmtId="44" fontId="10" fillId="3" borderId="0" xfId="1" applyFont="1" applyFill="1" applyAlignment="1" applyProtection="1">
      <alignment horizontal="right" vertical="center"/>
      <protection hidden="1"/>
    </xf>
    <xf numFmtId="9" fontId="10" fillId="3" borderId="0" xfId="2" applyFont="1" applyFill="1" applyAlignment="1" applyProtection="1">
      <alignment horizontal="right" vertical="center"/>
      <protection hidden="1"/>
    </xf>
    <xf numFmtId="44" fontId="10" fillId="7" borderId="0" xfId="1" applyFont="1" applyFill="1" applyAlignment="1" applyProtection="1">
      <alignment horizontal="right" vertical="center"/>
      <protection hidden="1"/>
    </xf>
    <xf numFmtId="169" fontId="10" fillId="3" borderId="0" xfId="2" applyNumberFormat="1" applyFont="1" applyFill="1" applyAlignment="1" applyProtection="1">
      <alignment horizontal="right" vertical="center"/>
      <protection hidden="1"/>
    </xf>
    <xf numFmtId="169" fontId="15" fillId="3" borderId="0" xfId="2" applyNumberFormat="1" applyFont="1" applyFill="1" applyAlignment="1" applyProtection="1">
      <alignment horizontal="right"/>
      <protection hidden="1"/>
    </xf>
    <xf numFmtId="44" fontId="15" fillId="3" borderId="0" xfId="0" applyNumberFormat="1" applyFont="1" applyFill="1" applyAlignment="1" applyProtection="1">
      <alignment horizontal="left"/>
      <protection hidden="1"/>
    </xf>
    <xf numFmtId="0" fontId="12" fillId="5" borderId="0" xfId="0" applyFont="1" applyFill="1" applyAlignment="1" applyProtection="1">
      <alignment horizontal="right" vertical="center"/>
      <protection locked="0"/>
    </xf>
    <xf numFmtId="166" fontId="21" fillId="3" borderId="0" xfId="2" applyNumberFormat="1" applyFont="1" applyFill="1" applyBorder="1" applyAlignment="1" applyProtection="1">
      <protection hidden="1"/>
    </xf>
    <xf numFmtId="0" fontId="10" fillId="9" borderId="0" xfId="0" applyFont="1" applyFill="1" applyAlignment="1" applyProtection="1">
      <alignment horizontal="left" vertical="center"/>
      <protection hidden="1"/>
    </xf>
    <xf numFmtId="0" fontId="10" fillId="9" borderId="0" xfId="0" applyFont="1" applyFill="1" applyAlignment="1" applyProtection="1">
      <alignment horizontal="left" wrapText="1"/>
      <protection hidden="1"/>
    </xf>
    <xf numFmtId="0" fontId="36" fillId="3" borderId="0" xfId="11" applyFont="1" applyFill="1" applyAlignment="1" applyProtection="1">
      <alignment horizontal="left"/>
      <protection hidden="1"/>
    </xf>
    <xf numFmtId="44" fontId="10" fillId="11" borderId="0" xfId="1" applyFont="1" applyFill="1" applyAlignment="1" applyProtection="1">
      <alignment horizontal="right" vertical="center"/>
      <protection hidden="1"/>
    </xf>
    <xf numFmtId="165" fontId="17" fillId="5" borderId="0" xfId="2" applyNumberFormat="1" applyFont="1" applyFill="1" applyAlignment="1" applyProtection="1">
      <alignment horizontal="center"/>
      <protection hidden="1"/>
    </xf>
    <xf numFmtId="44" fontId="15" fillId="5" borderId="0" xfId="1" applyFont="1" applyFill="1" applyBorder="1" applyAlignment="1" applyProtection="1">
      <alignment horizontal="right"/>
      <protection hidden="1"/>
    </xf>
    <xf numFmtId="44" fontId="15" fillId="9" borderId="0" xfId="1" applyFont="1" applyFill="1" applyBorder="1" applyAlignment="1" applyProtection="1">
      <alignment vertical="center"/>
      <protection hidden="1"/>
    </xf>
    <xf numFmtId="9" fontId="17" fillId="9" borderId="0" xfId="1" applyNumberFormat="1" applyFont="1" applyFill="1" applyBorder="1" applyAlignment="1" applyProtection="1">
      <alignment horizontal="right"/>
      <protection hidden="1"/>
    </xf>
    <xf numFmtId="0" fontId="10" fillId="9" borderId="0" xfId="0" applyFont="1" applyFill="1" applyProtection="1">
      <protection hidden="1"/>
    </xf>
    <xf numFmtId="0" fontId="10" fillId="9" borderId="0" xfId="0" applyFont="1" applyFill="1" applyAlignment="1" applyProtection="1">
      <alignment vertical="center"/>
      <protection hidden="1"/>
    </xf>
    <xf numFmtId="164" fontId="10" fillId="9" borderId="0" xfId="0" applyNumberFormat="1" applyFont="1" applyFill="1" applyProtection="1">
      <protection hidden="1"/>
    </xf>
    <xf numFmtId="44" fontId="15" fillId="9" borderId="0" xfId="0" applyNumberFormat="1" applyFont="1" applyFill="1" applyProtection="1">
      <protection hidden="1"/>
    </xf>
    <xf numFmtId="0" fontId="17" fillId="9" borderId="0" xfId="0" applyFont="1" applyFill="1" applyAlignment="1" applyProtection="1">
      <alignment horizontal="left"/>
      <protection hidden="1"/>
    </xf>
    <xf numFmtId="44" fontId="17" fillId="9" borderId="0" xfId="1" applyFont="1" applyFill="1" applyBorder="1" applyAlignment="1" applyProtection="1">
      <alignment horizontal="right" indent="2"/>
      <protection hidden="1"/>
    </xf>
    <xf numFmtId="0" fontId="17" fillId="9" borderId="0" xfId="0" applyFont="1" applyFill="1" applyProtection="1">
      <protection hidden="1"/>
    </xf>
    <xf numFmtId="44" fontId="17" fillId="9" borderId="0" xfId="0" applyNumberFormat="1" applyFont="1" applyFill="1" applyProtection="1">
      <protection hidden="1"/>
    </xf>
    <xf numFmtId="10" fontId="15" fillId="9" borderId="0" xfId="2" applyNumberFormat="1" applyFont="1" applyFill="1" applyAlignment="1" applyProtection="1">
      <alignment horizontal="center"/>
      <protection hidden="1"/>
    </xf>
    <xf numFmtId="0" fontId="21" fillId="9" borderId="0" xfId="0" applyFont="1" applyFill="1" applyAlignment="1" applyProtection="1">
      <alignment horizontal="center"/>
      <protection hidden="1"/>
    </xf>
    <xf numFmtId="0" fontId="10" fillId="9" borderId="0" xfId="0" applyFont="1" applyFill="1" applyAlignment="1" applyProtection="1">
      <alignment horizontal="center"/>
      <protection hidden="1"/>
    </xf>
    <xf numFmtId="164" fontId="10" fillId="9" borderId="0" xfId="0" applyNumberFormat="1" applyFont="1" applyFill="1" applyAlignment="1" applyProtection="1">
      <alignment horizontal="center"/>
      <protection hidden="1"/>
    </xf>
    <xf numFmtId="44" fontId="15" fillId="9" borderId="0" xfId="0" applyNumberFormat="1" applyFont="1" applyFill="1" applyAlignment="1" applyProtection="1">
      <alignment horizontal="center"/>
      <protection hidden="1"/>
    </xf>
    <xf numFmtId="44" fontId="17" fillId="9" borderId="0" xfId="0" applyNumberFormat="1" applyFont="1" applyFill="1" applyAlignment="1" applyProtection="1">
      <alignment horizontal="center"/>
      <protection hidden="1"/>
    </xf>
    <xf numFmtId="10" fontId="17" fillId="9" borderId="0" xfId="2" applyNumberFormat="1" applyFont="1" applyFill="1" applyAlignment="1" applyProtection="1">
      <alignment horizontal="center"/>
      <protection hidden="1"/>
    </xf>
    <xf numFmtId="0" fontId="17" fillId="9" borderId="0" xfId="0" applyFont="1" applyFill="1" applyAlignment="1" applyProtection="1">
      <alignment horizontal="center"/>
      <protection hidden="1"/>
    </xf>
    <xf numFmtId="0" fontId="18" fillId="9" borderId="0" xfId="0" applyFont="1" applyFill="1" applyAlignment="1" applyProtection="1">
      <alignment horizontal="center"/>
      <protection hidden="1"/>
    </xf>
    <xf numFmtId="0" fontId="0" fillId="9" borderId="0" xfId="0" applyFill="1" applyAlignment="1">
      <alignment horizontal="center"/>
    </xf>
    <xf numFmtId="44" fontId="15" fillId="5" borderId="0" xfId="0" applyNumberFormat="1" applyFont="1" applyFill="1" applyAlignment="1" applyProtection="1">
      <alignment horizontal="left"/>
      <protection hidden="1"/>
    </xf>
    <xf numFmtId="0" fontId="29" fillId="9" borderId="0" xfId="0" applyFont="1" applyFill="1" applyAlignment="1" applyProtection="1">
      <alignment horizontal="center" vertical="center" wrapText="1"/>
      <protection hidden="1"/>
    </xf>
    <xf numFmtId="44" fontId="15" fillId="12" borderId="0" xfId="0" applyNumberFormat="1" applyFont="1" applyFill="1" applyAlignment="1" applyProtection="1">
      <alignment horizontal="left"/>
      <protection hidden="1"/>
    </xf>
    <xf numFmtId="44" fontId="17" fillId="9" borderId="0" xfId="0" applyNumberFormat="1" applyFont="1" applyFill="1" applyAlignment="1" applyProtection="1">
      <alignment horizontal="center" wrapText="1"/>
      <protection hidden="1"/>
    </xf>
    <xf numFmtId="0" fontId="27" fillId="9" borderId="0" xfId="0" applyFont="1" applyFill="1" applyAlignment="1" applyProtection="1">
      <alignment horizontal="left" vertical="center"/>
      <protection hidden="1"/>
    </xf>
    <xf numFmtId="44" fontId="17" fillId="9" borderId="0" xfId="1" applyFont="1" applyFill="1" applyBorder="1" applyAlignment="1" applyProtection="1">
      <alignment horizontal="left" vertical="center"/>
      <protection hidden="1"/>
    </xf>
    <xf numFmtId="44" fontId="15" fillId="9" borderId="0" xfId="0" applyNumberFormat="1" applyFont="1" applyFill="1" applyAlignment="1" applyProtection="1">
      <alignment horizontal="left" vertical="center" wrapText="1"/>
      <protection hidden="1"/>
    </xf>
    <xf numFmtId="44" fontId="10" fillId="3" borderId="0" xfId="1" applyFont="1" applyFill="1" applyAlignment="1" applyProtection="1">
      <alignment horizontal="left" vertical="center"/>
      <protection hidden="1"/>
    </xf>
    <xf numFmtId="44" fontId="37" fillId="9" borderId="0" xfId="1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10" fontId="11" fillId="9" borderId="0" xfId="2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38" fillId="3" borderId="0" xfId="0" applyFont="1" applyFill="1" applyAlignment="1" applyProtection="1">
      <alignment horizontal="center" vertical="center" wrapText="1"/>
      <protection hidden="1"/>
    </xf>
    <xf numFmtId="0" fontId="17" fillId="9" borderId="0" xfId="0" applyFont="1" applyFill="1" applyAlignment="1" applyProtection="1">
      <alignment horizontal="right" vertical="center"/>
      <protection hidden="1"/>
    </xf>
    <xf numFmtId="0" fontId="29" fillId="9" borderId="1" xfId="0" applyFont="1" applyFill="1" applyBorder="1" applyAlignment="1" applyProtection="1">
      <alignment horizontal="center" vertical="center" wrapText="1"/>
      <protection hidden="1"/>
    </xf>
    <xf numFmtId="0" fontId="29" fillId="9" borderId="5" xfId="0" applyFont="1" applyFill="1" applyBorder="1" applyAlignment="1" applyProtection="1">
      <alignment horizontal="center" vertical="center" wrapText="1"/>
      <protection hidden="1"/>
    </xf>
    <xf numFmtId="0" fontId="15" fillId="9" borderId="3" xfId="0" applyFont="1" applyFill="1" applyBorder="1" applyAlignment="1" applyProtection="1">
      <alignment horizontal="left" vertical="center"/>
      <protection hidden="1"/>
    </xf>
    <xf numFmtId="10" fontId="11" fillId="9" borderId="4" xfId="0" applyNumberFormat="1" applyFont="1" applyFill="1" applyBorder="1" applyAlignment="1">
      <alignment vertical="center"/>
    </xf>
    <xf numFmtId="44" fontId="17" fillId="9" borderId="4" xfId="1" applyFont="1" applyFill="1" applyBorder="1" applyAlignment="1" applyProtection="1">
      <alignment horizontal="right"/>
      <protection hidden="1"/>
    </xf>
    <xf numFmtId="9" fontId="11" fillId="9" borderId="4" xfId="2" applyFont="1" applyFill="1" applyBorder="1" applyAlignment="1" applyProtection="1">
      <alignment vertical="center"/>
    </xf>
    <xf numFmtId="1" fontId="11" fillId="9" borderId="4" xfId="3" applyNumberFormat="1" applyFont="1" applyFill="1" applyBorder="1" applyAlignment="1" applyProtection="1">
      <alignment vertical="center"/>
    </xf>
    <xf numFmtId="0" fontId="15" fillId="9" borderId="6" xfId="0" applyFont="1" applyFill="1" applyBorder="1" applyAlignment="1" applyProtection="1">
      <alignment horizontal="left"/>
      <protection hidden="1"/>
    </xf>
    <xf numFmtId="10" fontId="11" fillId="9" borderId="7" xfId="2" applyNumberFormat="1" applyFont="1" applyFill="1" applyBorder="1" applyAlignment="1" applyProtection="1">
      <alignment vertical="center"/>
    </xf>
    <xf numFmtId="44" fontId="17" fillId="9" borderId="0" xfId="0" applyNumberFormat="1" applyFont="1" applyFill="1" applyAlignment="1" applyProtection="1">
      <alignment horizontal="center" vertical="center" wrapText="1"/>
      <protection hidden="1"/>
    </xf>
    <xf numFmtId="0" fontId="40" fillId="0" borderId="0" xfId="13" applyFont="1"/>
    <xf numFmtId="0" fontId="41" fillId="14" borderId="8" xfId="13" applyFont="1" applyFill="1" applyBorder="1" applyAlignment="1" applyProtection="1">
      <alignment horizontal="right"/>
      <protection hidden="1"/>
    </xf>
    <xf numFmtId="0" fontId="42" fillId="15" borderId="8" xfId="13" applyFont="1" applyFill="1" applyBorder="1" applyAlignment="1" applyProtection="1">
      <alignment horizontal="right"/>
      <protection locked="0" hidden="1"/>
    </xf>
    <xf numFmtId="0" fontId="33" fillId="16" borderId="0" xfId="13" applyFont="1" applyFill="1" applyProtection="1">
      <protection hidden="1"/>
    </xf>
    <xf numFmtId="43" fontId="42" fillId="15" borderId="8" xfId="14" applyFont="1" applyFill="1" applyBorder="1" applyAlignment="1" applyProtection="1">
      <alignment horizontal="right"/>
      <protection locked="0" hidden="1"/>
    </xf>
    <xf numFmtId="9" fontId="42" fillId="15" borderId="8" xfId="13" applyNumberFormat="1" applyFont="1" applyFill="1" applyBorder="1" applyAlignment="1" applyProtection="1">
      <alignment horizontal="right"/>
      <protection locked="0" hidden="1"/>
    </xf>
    <xf numFmtId="9" fontId="43" fillId="14" borderId="8" xfId="14" applyNumberFormat="1" applyFont="1" applyFill="1" applyBorder="1" applyAlignment="1" applyProtection="1">
      <alignment horizontal="right"/>
      <protection locked="0" hidden="1"/>
    </xf>
    <xf numFmtId="0" fontId="43" fillId="14" borderId="8" xfId="13" applyFont="1" applyFill="1" applyBorder="1" applyProtection="1">
      <protection locked="0" hidden="1"/>
    </xf>
    <xf numFmtId="43" fontId="43" fillId="14" borderId="8" xfId="14" applyFont="1" applyFill="1" applyBorder="1" applyProtection="1">
      <protection hidden="1"/>
    </xf>
    <xf numFmtId="0" fontId="40" fillId="9" borderId="0" xfId="13" applyFont="1" applyFill="1"/>
    <xf numFmtId="0" fontId="40" fillId="9" borderId="0" xfId="13" applyFont="1" applyFill="1" applyAlignment="1">
      <alignment horizontal="right"/>
    </xf>
    <xf numFmtId="0" fontId="6" fillId="0" borderId="0" xfId="13"/>
    <xf numFmtId="0" fontId="44" fillId="9" borderId="0" xfId="13" applyFont="1" applyFill="1" applyAlignment="1">
      <alignment horizontal="left"/>
    </xf>
    <xf numFmtId="0" fontId="40" fillId="9" borderId="0" xfId="13" applyFont="1" applyFill="1" applyAlignment="1" applyProtection="1">
      <alignment horizontal="right"/>
      <protection hidden="1"/>
    </xf>
    <xf numFmtId="0" fontId="40" fillId="9" borderId="0" xfId="13" applyFont="1" applyFill="1" applyProtection="1">
      <protection hidden="1"/>
    </xf>
    <xf numFmtId="0" fontId="33" fillId="9" borderId="0" xfId="13" applyFont="1" applyFill="1" applyProtection="1">
      <protection hidden="1"/>
    </xf>
    <xf numFmtId="0" fontId="46" fillId="9" borderId="0" xfId="13" applyFont="1" applyFill="1" applyAlignment="1" applyProtection="1">
      <alignment horizontal="right" wrapText="1"/>
      <protection hidden="1"/>
    </xf>
    <xf numFmtId="43" fontId="47" fillId="9" borderId="0" xfId="14" applyFont="1" applyFill="1" applyBorder="1" applyAlignment="1" applyProtection="1">
      <alignment horizontal="right" vertical="center"/>
      <protection hidden="1"/>
    </xf>
    <xf numFmtId="0" fontId="48" fillId="9" borderId="0" xfId="13" applyFont="1" applyFill="1" applyAlignment="1" applyProtection="1">
      <alignment horizontal="center" vertical="center" wrapText="1"/>
      <protection hidden="1"/>
    </xf>
    <xf numFmtId="43" fontId="49" fillId="9" borderId="0" xfId="14" applyFont="1" applyFill="1" applyBorder="1" applyAlignment="1" applyProtection="1">
      <alignment vertical="center"/>
      <protection hidden="1"/>
    </xf>
    <xf numFmtId="43" fontId="47" fillId="9" borderId="0" xfId="14" applyFont="1" applyFill="1" applyBorder="1" applyAlignment="1" applyProtection="1">
      <alignment vertical="center"/>
      <protection hidden="1"/>
    </xf>
    <xf numFmtId="0" fontId="46" fillId="0" borderId="0" xfId="13" applyFont="1" applyAlignment="1" applyProtection="1">
      <alignment horizontal="right" wrapText="1"/>
      <protection hidden="1"/>
    </xf>
    <xf numFmtId="43" fontId="50" fillId="9" borderId="0" xfId="14" applyFont="1" applyFill="1" applyBorder="1" applyAlignment="1" applyProtection="1">
      <alignment vertical="center"/>
      <protection hidden="1"/>
    </xf>
    <xf numFmtId="43" fontId="51" fillId="9" borderId="0" xfId="14" applyFont="1" applyFill="1" applyBorder="1" applyAlignment="1" applyProtection="1">
      <alignment horizontal="right" vertical="center"/>
      <protection hidden="1"/>
    </xf>
    <xf numFmtId="43" fontId="46" fillId="0" borderId="0" xfId="13" applyNumberFormat="1" applyFont="1" applyAlignment="1" applyProtection="1">
      <alignment horizontal="right" wrapText="1"/>
      <protection hidden="1"/>
    </xf>
    <xf numFmtId="170" fontId="52" fillId="9" borderId="0" xfId="14" applyNumberFormat="1" applyFont="1" applyFill="1" applyBorder="1" applyAlignment="1" applyProtection="1">
      <alignment horizontal="right" vertical="center"/>
      <protection hidden="1"/>
    </xf>
    <xf numFmtId="171" fontId="51" fillId="9" borderId="0" xfId="14" applyNumberFormat="1" applyFont="1" applyFill="1" applyBorder="1" applyAlignment="1" applyProtection="1">
      <alignment horizontal="right" vertical="center" wrapText="1"/>
      <protection hidden="1"/>
    </xf>
    <xf numFmtId="10" fontId="46" fillId="0" borderId="0" xfId="13" applyNumberFormat="1" applyFont="1" applyAlignment="1" applyProtection="1">
      <alignment horizontal="right" wrapText="1"/>
      <protection hidden="1"/>
    </xf>
    <xf numFmtId="10" fontId="53" fillId="9" borderId="0" xfId="13" applyNumberFormat="1" applyFont="1" applyFill="1" applyAlignment="1" applyProtection="1">
      <alignment horizontal="right" vertical="center" wrapText="1" indent="1"/>
      <protection hidden="1"/>
    </xf>
    <xf numFmtId="43" fontId="50" fillId="9" borderId="0" xfId="14" applyFont="1" applyFill="1" applyBorder="1" applyAlignment="1" applyProtection="1">
      <alignment vertical="center" wrapText="1"/>
      <protection hidden="1"/>
    </xf>
    <xf numFmtId="43" fontId="47" fillId="9" borderId="0" xfId="14" applyFont="1" applyFill="1" applyBorder="1" applyAlignment="1" applyProtection="1">
      <alignment vertical="center" wrapText="1"/>
      <protection hidden="1"/>
    </xf>
    <xf numFmtId="0" fontId="40" fillId="0" borderId="0" xfId="13" applyFont="1" applyAlignment="1">
      <alignment wrapText="1"/>
    </xf>
    <xf numFmtId="14" fontId="46" fillId="0" borderId="0" xfId="13" applyNumberFormat="1" applyFont="1" applyAlignment="1" applyProtection="1">
      <alignment horizontal="right" wrapText="1"/>
      <protection hidden="1"/>
    </xf>
    <xf numFmtId="10" fontId="53" fillId="9" borderId="0" xfId="13" applyNumberFormat="1" applyFont="1" applyFill="1" applyAlignment="1" applyProtection="1">
      <alignment horizontal="right" vertical="center" wrapText="1"/>
      <protection hidden="1"/>
    </xf>
    <xf numFmtId="43" fontId="49" fillId="9" borderId="0" xfId="14" applyFont="1" applyFill="1" applyBorder="1" applyAlignment="1" applyProtection="1">
      <alignment vertical="center" wrapText="1"/>
      <protection hidden="1"/>
    </xf>
    <xf numFmtId="10" fontId="47" fillId="9" borderId="0" xfId="15" applyNumberFormat="1" applyFont="1" applyFill="1" applyBorder="1" applyAlignment="1" applyProtection="1">
      <alignment vertical="center" wrapText="1"/>
      <protection hidden="1"/>
    </xf>
    <xf numFmtId="168" fontId="52" fillId="9" borderId="0" xfId="14" applyNumberFormat="1" applyFont="1" applyFill="1" applyBorder="1" applyAlignment="1" applyProtection="1">
      <alignment horizontal="right" vertical="center"/>
      <protection hidden="1"/>
    </xf>
    <xf numFmtId="0" fontId="48" fillId="9" borderId="9" xfId="13" applyFont="1" applyFill="1" applyBorder="1" applyAlignment="1" applyProtection="1">
      <alignment horizontal="center" vertical="center" wrapText="1"/>
      <protection hidden="1"/>
    </xf>
    <xf numFmtId="0" fontId="54" fillId="9" borderId="0" xfId="13" applyFont="1" applyFill="1"/>
    <xf numFmtId="43" fontId="55" fillId="9" borderId="0" xfId="14" applyFont="1" applyFill="1" applyBorder="1" applyAlignment="1" applyProtection="1">
      <alignment horizontal="right" vertical="center"/>
      <protection hidden="1"/>
    </xf>
    <xf numFmtId="0" fontId="54" fillId="9" borderId="0" xfId="13" applyFont="1" applyFill="1" applyAlignment="1">
      <alignment wrapText="1"/>
    </xf>
    <xf numFmtId="43" fontId="51" fillId="9" borderId="0" xfId="14" applyFont="1" applyFill="1" applyBorder="1" applyAlignment="1" applyProtection="1">
      <alignment horizontal="right" vertical="center" wrapText="1"/>
      <protection hidden="1"/>
    </xf>
    <xf numFmtId="43" fontId="55" fillId="9" borderId="0" xfId="14" applyFont="1" applyFill="1" applyBorder="1" applyAlignment="1" applyProtection="1">
      <alignment horizontal="right" vertical="center" wrapText="1"/>
      <protection hidden="1"/>
    </xf>
    <xf numFmtId="0" fontId="6" fillId="0" borderId="0" xfId="13" applyAlignment="1">
      <alignment wrapText="1"/>
    </xf>
    <xf numFmtId="10" fontId="56" fillId="9" borderId="0" xfId="13" applyNumberFormat="1" applyFont="1" applyFill="1" applyAlignment="1" applyProtection="1">
      <alignment horizontal="right" vertical="center" wrapText="1" indent="1"/>
      <protection hidden="1"/>
    </xf>
    <xf numFmtId="43" fontId="57" fillId="9" borderId="0" xfId="14" applyFont="1" applyFill="1" applyBorder="1" applyAlignment="1" applyProtection="1">
      <alignment horizontal="right" vertical="center" wrapText="1"/>
      <protection hidden="1"/>
    </xf>
    <xf numFmtId="43" fontId="58" fillId="9" borderId="0" xfId="14" applyFont="1" applyFill="1" applyBorder="1" applyAlignment="1" applyProtection="1">
      <alignment horizontal="right" vertical="center"/>
      <protection hidden="1"/>
    </xf>
    <xf numFmtId="10" fontId="59" fillId="9" borderId="0" xfId="13" applyNumberFormat="1" applyFont="1" applyFill="1" applyAlignment="1" applyProtection="1">
      <alignment horizontal="right" vertical="center" wrapText="1" indent="1"/>
      <protection hidden="1"/>
    </xf>
    <xf numFmtId="170" fontId="61" fillId="9" borderId="0" xfId="14" applyNumberFormat="1" applyFont="1" applyFill="1" applyBorder="1" applyAlignment="1" applyProtection="1">
      <alignment horizontal="right" vertical="center" indent="1"/>
      <protection hidden="1"/>
    </xf>
    <xf numFmtId="8" fontId="51" fillId="9" borderId="0" xfId="14" applyNumberFormat="1" applyFont="1" applyFill="1" applyBorder="1" applyAlignment="1" applyProtection="1">
      <alignment horizontal="right" vertical="center"/>
      <protection hidden="1"/>
    </xf>
    <xf numFmtId="170" fontId="55" fillId="9" borderId="0" xfId="14" applyNumberFormat="1" applyFont="1" applyFill="1" applyBorder="1" applyAlignment="1" applyProtection="1">
      <alignment horizontal="right" vertical="center"/>
      <protection hidden="1"/>
    </xf>
    <xf numFmtId="170" fontId="51" fillId="9" borderId="10" xfId="14" applyNumberFormat="1" applyFont="1" applyFill="1" applyBorder="1" applyAlignment="1" applyProtection="1">
      <alignment horizontal="right" vertical="center"/>
      <protection hidden="1"/>
    </xf>
    <xf numFmtId="0" fontId="6" fillId="9" borderId="0" xfId="13" applyFill="1"/>
    <xf numFmtId="172" fontId="48" fillId="9" borderId="0" xfId="14" applyNumberFormat="1" applyFont="1" applyFill="1" applyBorder="1" applyAlignment="1" applyProtection="1">
      <alignment horizontal="right" vertical="center" wrapText="1"/>
      <protection hidden="1"/>
    </xf>
    <xf numFmtId="170" fontId="51" fillId="9" borderId="0" xfId="14" applyNumberFormat="1" applyFont="1" applyFill="1" applyBorder="1" applyAlignment="1" applyProtection="1">
      <alignment horizontal="right" vertical="center"/>
      <protection hidden="1"/>
    </xf>
    <xf numFmtId="0" fontId="44" fillId="9" borderId="0" xfId="13" applyFont="1" applyFill="1"/>
    <xf numFmtId="43" fontId="61" fillId="9" borderId="0" xfId="14" applyFont="1" applyFill="1" applyBorder="1" applyAlignment="1" applyProtection="1">
      <alignment horizontal="right" vertical="center"/>
      <protection hidden="1"/>
    </xf>
    <xf numFmtId="0" fontId="62" fillId="9" borderId="0" xfId="13" applyFont="1" applyFill="1" applyProtection="1">
      <protection hidden="1"/>
    </xf>
    <xf numFmtId="0" fontId="6" fillId="0" borderId="0" xfId="13" applyProtection="1">
      <protection hidden="1"/>
    </xf>
    <xf numFmtId="43" fontId="51" fillId="9" borderId="0" xfId="14" applyFont="1" applyFill="1" applyBorder="1" applyAlignment="1" applyProtection="1">
      <alignment vertical="center"/>
      <protection hidden="1"/>
    </xf>
    <xf numFmtId="43" fontId="61" fillId="9" borderId="0" xfId="14" applyFont="1" applyFill="1" applyBorder="1" applyAlignment="1" applyProtection="1">
      <alignment vertical="center"/>
      <protection hidden="1"/>
    </xf>
    <xf numFmtId="0" fontId="60" fillId="9" borderId="0" xfId="13" applyFont="1" applyFill="1" applyProtection="1">
      <protection hidden="1"/>
    </xf>
    <xf numFmtId="0" fontId="66" fillId="9" borderId="0" xfId="13" applyFont="1" applyFill="1" applyAlignment="1" applyProtection="1">
      <alignment horizontal="center" vertical="center" wrapText="1"/>
      <protection hidden="1"/>
    </xf>
    <xf numFmtId="0" fontId="67" fillId="9" borderId="0" xfId="13" applyFont="1" applyFill="1" applyAlignment="1" applyProtection="1">
      <alignment horizontal="center" vertical="center" wrapText="1"/>
      <protection hidden="1"/>
    </xf>
    <xf numFmtId="0" fontId="62" fillId="9" borderId="11" xfId="12" applyNumberFormat="1" applyFont="1" applyFill="1" applyBorder="1" applyAlignment="1" applyProtection="1">
      <alignment horizontal="center" vertical="center"/>
      <protection hidden="1"/>
    </xf>
    <xf numFmtId="173" fontId="62" fillId="9" borderId="12" xfId="12" applyNumberFormat="1" applyFont="1" applyFill="1" applyBorder="1" applyAlignment="1" applyProtection="1">
      <alignment horizontal="center" vertical="center"/>
      <protection hidden="1"/>
    </xf>
    <xf numFmtId="8" fontId="62" fillId="9" borderId="12" xfId="12" applyNumberFormat="1" applyFont="1" applyFill="1" applyBorder="1" applyAlignment="1" applyProtection="1">
      <alignment horizontal="center" vertical="center"/>
      <protection hidden="1"/>
    </xf>
    <xf numFmtId="8" fontId="62" fillId="9" borderId="13" xfId="12" applyNumberFormat="1" applyFont="1" applyFill="1" applyBorder="1" applyAlignment="1" applyProtection="1">
      <alignment horizontal="center" vertical="center"/>
      <protection hidden="1"/>
    </xf>
    <xf numFmtId="8" fontId="62" fillId="9" borderId="14" xfId="12" applyNumberFormat="1" applyFont="1" applyFill="1" applyBorder="1" applyAlignment="1" applyProtection="1">
      <alignment horizontal="center" vertical="center"/>
      <protection hidden="1"/>
    </xf>
    <xf numFmtId="0" fontId="62" fillId="9" borderId="15" xfId="12" applyNumberFormat="1" applyFont="1" applyFill="1" applyBorder="1" applyAlignment="1" applyProtection="1">
      <alignment horizontal="center" vertical="center"/>
      <protection hidden="1"/>
    </xf>
    <xf numFmtId="173" fontId="62" fillId="9" borderId="16" xfId="12" applyNumberFormat="1" applyFont="1" applyFill="1" applyBorder="1" applyAlignment="1" applyProtection="1">
      <alignment horizontal="center" vertical="center"/>
      <protection hidden="1"/>
    </xf>
    <xf numFmtId="8" fontId="62" fillId="9" borderId="16" xfId="12" applyNumberFormat="1" applyFont="1" applyFill="1" applyBorder="1" applyAlignment="1" applyProtection="1">
      <alignment horizontal="center" vertical="center"/>
      <protection hidden="1"/>
    </xf>
    <xf numFmtId="8" fontId="62" fillId="9" borderId="17" xfId="12" applyNumberFormat="1" applyFont="1" applyFill="1" applyBorder="1" applyAlignment="1" applyProtection="1">
      <alignment horizontal="center" vertical="center"/>
      <protection hidden="1"/>
    </xf>
    <xf numFmtId="0" fontId="62" fillId="9" borderId="18" xfId="12" applyNumberFormat="1" applyFont="1" applyFill="1" applyBorder="1" applyAlignment="1" applyProtection="1">
      <alignment horizontal="center" vertical="center"/>
      <protection hidden="1"/>
    </xf>
    <xf numFmtId="0" fontId="68" fillId="0" borderId="16" xfId="0" applyFont="1" applyBorder="1" applyAlignment="1">
      <alignment horizontal="left"/>
    </xf>
    <xf numFmtId="1" fontId="11" fillId="9" borderId="4" xfId="3" applyNumberFormat="1" applyFont="1" applyFill="1" applyBorder="1" applyAlignment="1" applyProtection="1">
      <alignment horizontal="right" vertical="center"/>
    </xf>
    <xf numFmtId="10" fontId="11" fillId="9" borderId="4" xfId="2" applyNumberFormat="1" applyFont="1" applyFill="1" applyBorder="1" applyAlignment="1" applyProtection="1">
      <alignment vertical="center"/>
    </xf>
    <xf numFmtId="1" fontId="48" fillId="9" borderId="0" xfId="13" applyNumberFormat="1" applyFont="1" applyFill="1" applyAlignment="1" applyProtection="1">
      <alignment horizontal="center" vertical="center" wrapText="1"/>
      <protection hidden="1"/>
    </xf>
    <xf numFmtId="44" fontId="15" fillId="9" borderId="0" xfId="0" applyNumberFormat="1" applyFont="1" applyFill="1" applyAlignment="1" applyProtection="1">
      <alignment horizontal="right"/>
      <protection hidden="1"/>
    </xf>
    <xf numFmtId="0" fontId="10" fillId="3" borderId="0" xfId="0" applyFont="1" applyFill="1" applyAlignment="1" applyProtection="1">
      <alignment vertical="center"/>
      <protection hidden="1"/>
    </xf>
    <xf numFmtId="0" fontId="15" fillId="9" borderId="0" xfId="0" applyFont="1" applyFill="1" applyAlignment="1">
      <alignment horizontal="left"/>
    </xf>
    <xf numFmtId="44" fontId="15" fillId="9" borderId="0" xfId="0" applyNumberFormat="1" applyFont="1" applyFill="1" applyAlignment="1">
      <alignment horizontal="left"/>
    </xf>
    <xf numFmtId="8" fontId="15" fillId="9" borderId="0" xfId="1" applyNumberFormat="1" applyFont="1" applyFill="1" applyBorder="1" applyAlignment="1" applyProtection="1">
      <alignment horizontal="right"/>
    </xf>
    <xf numFmtId="10" fontId="15" fillId="9" borderId="0" xfId="2" applyNumberFormat="1" applyFont="1" applyFill="1" applyBorder="1" applyAlignment="1" applyProtection="1">
      <alignment horizontal="right"/>
    </xf>
    <xf numFmtId="44" fontId="15" fillId="9" borderId="0" xfId="1" applyFont="1" applyFill="1" applyBorder="1" applyAlignment="1" applyProtection="1">
      <alignment horizontal="right"/>
    </xf>
    <xf numFmtId="0" fontId="15" fillId="9" borderId="0" xfId="0" applyFont="1" applyFill="1" applyAlignment="1">
      <alignment horizontal="left" vertical="center"/>
    </xf>
    <xf numFmtId="44" fontId="21" fillId="6" borderId="0" xfId="1" applyFont="1" applyFill="1" applyBorder="1" applyAlignment="1" applyProtection="1">
      <alignment horizontal="left" vertical="center"/>
    </xf>
    <xf numFmtId="44" fontId="15" fillId="9" borderId="0" xfId="1" applyFont="1" applyFill="1" applyBorder="1" applyAlignment="1" applyProtection="1">
      <alignment horizontal="right" vertical="center"/>
    </xf>
    <xf numFmtId="9" fontId="15" fillId="9" borderId="0" xfId="2" applyFont="1" applyFill="1" applyBorder="1" applyAlignment="1" applyProtection="1">
      <alignment horizontal="right" vertical="center"/>
    </xf>
    <xf numFmtId="8" fontId="15" fillId="0" borderId="0" xfId="1" applyNumberFormat="1" applyFont="1" applyFill="1" applyBorder="1" applyAlignment="1" applyProtection="1">
      <alignment horizontal="right" vertical="center"/>
    </xf>
    <xf numFmtId="44" fontId="21" fillId="10" borderId="0" xfId="1" applyFont="1" applyFill="1" applyBorder="1" applyAlignment="1" applyProtection="1">
      <alignment horizontal="left" vertical="center"/>
    </xf>
    <xf numFmtId="0" fontId="10" fillId="9" borderId="0" xfId="0" applyFont="1" applyFill="1" applyAlignment="1">
      <alignment horizontal="left"/>
    </xf>
    <xf numFmtId="8" fontId="15" fillId="9" borderId="0" xfId="0" applyNumberFormat="1" applyFont="1" applyFill="1" applyAlignment="1">
      <alignment horizontal="right"/>
    </xf>
    <xf numFmtId="44" fontId="15" fillId="9" borderId="0" xfId="2" applyNumberFormat="1" applyFont="1" applyFill="1" applyBorder="1" applyAlignment="1" applyProtection="1">
      <alignment horizontal="right"/>
    </xf>
    <xf numFmtId="10" fontId="38" fillId="9" borderId="0" xfId="2" applyNumberFormat="1" applyFont="1" applyFill="1" applyBorder="1" applyAlignment="1" applyProtection="1">
      <alignment horizontal="right" vertical="center"/>
    </xf>
    <xf numFmtId="0" fontId="15" fillId="17" borderId="0" xfId="0" applyFont="1" applyFill="1" applyAlignment="1">
      <alignment horizontal="left"/>
    </xf>
    <xf numFmtId="10" fontId="15" fillId="17" borderId="0" xfId="2" applyNumberFormat="1" applyFont="1" applyFill="1" applyBorder="1" applyAlignment="1" applyProtection="1">
      <alignment horizontal="right"/>
    </xf>
    <xf numFmtId="0" fontId="15" fillId="17" borderId="0" xfId="0" applyFont="1" applyFill="1" applyAlignment="1">
      <alignment horizontal="left" vertical="center" wrapText="1"/>
    </xf>
    <xf numFmtId="44" fontId="15" fillId="17" borderId="0" xfId="0" applyNumberFormat="1" applyFont="1" applyFill="1" applyAlignment="1">
      <alignment horizontal="left" vertical="center"/>
    </xf>
    <xf numFmtId="0" fontId="15" fillId="17" borderId="0" xfId="0" applyFont="1" applyFill="1" applyAlignment="1" applyProtection="1">
      <alignment horizontal="left" vertical="center"/>
      <protection hidden="1"/>
    </xf>
    <xf numFmtId="44" fontId="15" fillId="17" borderId="0" xfId="0" applyNumberFormat="1" applyFont="1" applyFill="1" applyAlignment="1" applyProtection="1">
      <alignment horizontal="left" vertical="center"/>
      <protection hidden="1"/>
    </xf>
    <xf numFmtId="0" fontId="38" fillId="9" borderId="0" xfId="0" applyFont="1" applyFill="1" applyAlignment="1">
      <alignment horizontal="left" vertical="center"/>
    </xf>
    <xf numFmtId="10" fontId="15" fillId="9" borderId="0" xfId="2" applyNumberFormat="1" applyFont="1" applyFill="1" applyBorder="1" applyAlignment="1" applyProtection="1">
      <alignment horizontal="right" vertical="center"/>
    </xf>
    <xf numFmtId="44" fontId="15" fillId="2" borderId="0" xfId="1" applyFont="1" applyFill="1" applyBorder="1" applyAlignment="1" applyProtection="1">
      <alignment horizontal="right" vertical="center"/>
    </xf>
    <xf numFmtId="166" fontId="15" fillId="2" borderId="0" xfId="2" applyNumberFormat="1" applyFont="1" applyFill="1" applyBorder="1" applyAlignment="1" applyProtection="1">
      <alignment horizontal="right" vertical="center"/>
    </xf>
    <xf numFmtId="0" fontId="15" fillId="2" borderId="0" xfId="0" applyFont="1" applyFill="1" applyAlignment="1">
      <alignment horizontal="left" vertical="center" wrapText="1"/>
    </xf>
    <xf numFmtId="0" fontId="5" fillId="0" borderId="0" xfId="17"/>
    <xf numFmtId="0" fontId="70" fillId="0" borderId="19" xfId="17" applyFont="1" applyBorder="1" applyAlignment="1">
      <alignment horizontal="center" vertical="center"/>
    </xf>
    <xf numFmtId="14" fontId="70" fillId="0" borderId="19" xfId="17" applyNumberFormat="1" applyFont="1" applyBorder="1" applyAlignment="1">
      <alignment horizontal="center" vertical="center"/>
    </xf>
    <xf numFmtId="14" fontId="70" fillId="0" borderId="20" xfId="17" applyNumberFormat="1" applyFont="1" applyBorder="1" applyAlignment="1">
      <alignment horizontal="center" vertical="center"/>
    </xf>
    <xf numFmtId="10" fontId="70" fillId="0" borderId="20" xfId="18" applyNumberFormat="1" applyFont="1" applyBorder="1" applyAlignment="1">
      <alignment horizontal="center" vertical="center"/>
    </xf>
    <xf numFmtId="0" fontId="38" fillId="9" borderId="3" xfId="0" applyFont="1" applyFill="1" applyBorder="1" applyAlignment="1" applyProtection="1">
      <alignment horizontal="left" vertical="center"/>
      <protection hidden="1"/>
    </xf>
    <xf numFmtId="0" fontId="70" fillId="9" borderId="19" xfId="17" applyFont="1" applyFill="1" applyBorder="1" applyAlignment="1">
      <alignment horizontal="center" vertical="center"/>
    </xf>
    <xf numFmtId="14" fontId="70" fillId="9" borderId="19" xfId="17" applyNumberFormat="1" applyFont="1" applyFill="1" applyBorder="1" applyAlignment="1">
      <alignment horizontal="center" vertical="center"/>
    </xf>
    <xf numFmtId="14" fontId="70" fillId="9" borderId="20" xfId="17" applyNumberFormat="1" applyFont="1" applyFill="1" applyBorder="1" applyAlignment="1">
      <alignment horizontal="center" vertical="center"/>
    </xf>
    <xf numFmtId="10" fontId="70" fillId="9" borderId="20" xfId="18" applyNumberFormat="1" applyFont="1" applyFill="1" applyBorder="1" applyAlignment="1">
      <alignment horizontal="center" vertical="center"/>
    </xf>
    <xf numFmtId="44" fontId="38" fillId="9" borderId="4" xfId="1" applyFont="1" applyFill="1" applyBorder="1" applyAlignment="1" applyProtection="1">
      <alignment horizontal="right" vertical="center"/>
      <protection locked="0"/>
    </xf>
    <xf numFmtId="9" fontId="0" fillId="0" borderId="0" xfId="0" applyNumberFormat="1"/>
    <xf numFmtId="0" fontId="0" fillId="0" borderId="0" xfId="0" applyAlignment="1">
      <alignment vertical="top" wrapText="1"/>
    </xf>
    <xf numFmtId="0" fontId="71" fillId="0" borderId="0" xfId="0" applyFont="1" applyAlignment="1">
      <alignment vertical="top"/>
    </xf>
    <xf numFmtId="0" fontId="4" fillId="12" borderId="21" xfId="17" applyFont="1" applyFill="1" applyBorder="1" applyAlignment="1">
      <alignment wrapText="1"/>
    </xf>
    <xf numFmtId="14" fontId="72" fillId="20" borderId="23" xfId="18" applyNumberFormat="1" applyFont="1" applyFill="1" applyBorder="1" applyAlignment="1">
      <alignment horizontal="center" vertical="center"/>
    </xf>
    <xf numFmtId="14" fontId="72" fillId="20" borderId="20" xfId="18" applyNumberFormat="1" applyFont="1" applyFill="1" applyBorder="1" applyAlignment="1">
      <alignment horizontal="center" vertical="center"/>
    </xf>
    <xf numFmtId="14" fontId="70" fillId="0" borderId="19" xfId="0" applyNumberFormat="1" applyFont="1" applyBorder="1" applyAlignment="1">
      <alignment horizontal="center" vertical="center"/>
    </xf>
    <xf numFmtId="14" fontId="70" fillId="0" borderId="20" xfId="0" applyNumberFormat="1" applyFont="1" applyBorder="1" applyAlignment="1">
      <alignment horizontal="center" vertical="center"/>
    </xf>
    <xf numFmtId="14" fontId="72" fillId="20" borderId="24" xfId="18" applyNumberFormat="1" applyFont="1" applyFill="1" applyBorder="1" applyAlignment="1">
      <alignment horizontal="center" vertical="center"/>
    </xf>
    <xf numFmtId="14" fontId="70" fillId="0" borderId="24" xfId="17" applyNumberFormat="1" applyFont="1" applyBorder="1" applyAlignment="1">
      <alignment horizontal="center" vertical="center"/>
    </xf>
    <xf numFmtId="0" fontId="5" fillId="0" borderId="0" xfId="17" applyAlignment="1">
      <alignment horizontal="center"/>
    </xf>
    <xf numFmtId="0" fontId="69" fillId="18" borderId="26" xfId="17" applyFont="1" applyFill="1" applyBorder="1" applyAlignment="1">
      <alignment horizontal="center" vertical="center"/>
    </xf>
    <xf numFmtId="0" fontId="69" fillId="18" borderId="0" xfId="17" applyFont="1" applyFill="1" applyAlignment="1">
      <alignment horizontal="center" vertical="center"/>
    </xf>
    <xf numFmtId="0" fontId="69" fillId="18" borderId="1" xfId="17" applyFont="1" applyFill="1" applyBorder="1" applyAlignment="1">
      <alignment vertical="center"/>
    </xf>
    <xf numFmtId="0" fontId="69" fillId="18" borderId="2" xfId="17" applyFont="1" applyFill="1" applyBorder="1" applyAlignment="1">
      <alignment vertical="center"/>
    </xf>
    <xf numFmtId="0" fontId="69" fillId="18" borderId="27" xfId="17" applyFont="1" applyFill="1" applyBorder="1" applyAlignment="1">
      <alignment horizontal="center" vertical="center"/>
    </xf>
    <xf numFmtId="0" fontId="69" fillId="18" borderId="28" xfId="17" applyFont="1" applyFill="1" applyBorder="1" applyAlignment="1">
      <alignment horizontal="center" vertical="center"/>
    </xf>
    <xf numFmtId="0" fontId="70" fillId="0" borderId="29" xfId="17" applyFont="1" applyBorder="1" applyAlignment="1">
      <alignment vertical="center"/>
    </xf>
    <xf numFmtId="14" fontId="72" fillId="20" borderId="30" xfId="18" applyNumberFormat="1" applyFont="1" applyFill="1" applyBorder="1" applyAlignment="1">
      <alignment horizontal="center" vertical="center"/>
    </xf>
    <xf numFmtId="0" fontId="70" fillId="9" borderId="29" xfId="17" applyFont="1" applyFill="1" applyBorder="1" applyAlignment="1">
      <alignment vertical="center"/>
    </xf>
    <xf numFmtId="0" fontId="70" fillId="9" borderId="31" xfId="17" applyFont="1" applyFill="1" applyBorder="1" applyAlignment="1">
      <alignment vertical="center"/>
    </xf>
    <xf numFmtId="0" fontId="70" fillId="9" borderId="32" xfId="17" applyFont="1" applyFill="1" applyBorder="1" applyAlignment="1">
      <alignment horizontal="center" vertical="center"/>
    </xf>
    <xf numFmtId="14" fontId="70" fillId="9" borderId="32" xfId="17" applyNumberFormat="1" applyFont="1" applyFill="1" applyBorder="1" applyAlignment="1">
      <alignment horizontal="center" vertical="center"/>
    </xf>
    <xf numFmtId="14" fontId="70" fillId="9" borderId="33" xfId="17" applyNumberFormat="1" applyFont="1" applyFill="1" applyBorder="1" applyAlignment="1">
      <alignment horizontal="center" vertical="center"/>
    </xf>
    <xf numFmtId="10" fontId="70" fillId="9" borderId="33" xfId="18" applyNumberFormat="1" applyFont="1" applyFill="1" applyBorder="1" applyAlignment="1">
      <alignment horizontal="center" vertical="center"/>
    </xf>
    <xf numFmtId="14" fontId="72" fillId="20" borderId="33" xfId="18" applyNumberFormat="1" applyFont="1" applyFill="1" applyBorder="1" applyAlignment="1">
      <alignment horizontal="center" vertical="center"/>
    </xf>
    <xf numFmtId="14" fontId="72" fillId="20" borderId="34" xfId="18" applyNumberFormat="1" applyFont="1" applyFill="1" applyBorder="1" applyAlignment="1">
      <alignment horizontal="center" vertical="center"/>
    </xf>
    <xf numFmtId="14" fontId="72" fillId="20" borderId="30" xfId="18" applyNumberFormat="1" applyFont="1" applyFill="1" applyBorder="1" applyAlignment="1">
      <alignment horizontal="center" vertical="center" wrapText="1"/>
    </xf>
    <xf numFmtId="14" fontId="72" fillId="20" borderId="5" xfId="18" applyNumberFormat="1" applyFont="1" applyFill="1" applyBorder="1" applyAlignment="1">
      <alignment horizontal="center" vertical="center"/>
    </xf>
    <xf numFmtId="10" fontId="70" fillId="0" borderId="20" xfId="2" applyNumberFormat="1" applyFont="1" applyBorder="1" applyAlignment="1">
      <alignment horizontal="center" vertical="center"/>
    </xf>
    <xf numFmtId="14" fontId="73" fillId="20" borderId="4" xfId="18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19" borderId="0" xfId="17" applyFont="1" applyFill="1" applyAlignment="1">
      <alignment horizontal="center"/>
    </xf>
    <xf numFmtId="14" fontId="70" fillId="9" borderId="25" xfId="17" applyNumberFormat="1" applyFont="1" applyFill="1" applyBorder="1" applyAlignment="1">
      <alignment horizontal="center" vertical="center"/>
    </xf>
    <xf numFmtId="14" fontId="70" fillId="9" borderId="24" xfId="17" applyNumberFormat="1" applyFont="1" applyFill="1" applyBorder="1" applyAlignment="1">
      <alignment horizontal="center" vertical="center"/>
    </xf>
    <xf numFmtId="1" fontId="10" fillId="9" borderId="0" xfId="2" applyNumberFormat="1" applyFont="1" applyFill="1" applyAlignment="1" applyProtection="1">
      <alignment horizontal="left"/>
      <protection hidden="1"/>
    </xf>
    <xf numFmtId="0" fontId="18" fillId="20" borderId="0" xfId="0" applyFont="1" applyFill="1" applyProtection="1">
      <protection hidden="1"/>
    </xf>
    <xf numFmtId="0" fontId="15" fillId="20" borderId="0" xfId="0" applyFont="1" applyFill="1" applyAlignment="1" applyProtection="1">
      <alignment horizontal="left"/>
      <protection hidden="1"/>
    </xf>
    <xf numFmtId="10" fontId="15" fillId="20" borderId="0" xfId="2" applyNumberFormat="1" applyFont="1" applyFill="1" applyAlignment="1" applyProtection="1">
      <alignment horizontal="right"/>
      <protection hidden="1"/>
    </xf>
    <xf numFmtId="44" fontId="15" fillId="20" borderId="0" xfId="0" applyNumberFormat="1" applyFont="1" applyFill="1" applyAlignment="1" applyProtection="1">
      <alignment horizontal="left"/>
      <protection hidden="1"/>
    </xf>
    <xf numFmtId="0" fontId="74" fillId="0" borderId="0" xfId="0" applyFont="1"/>
    <xf numFmtId="0" fontId="74" fillId="0" borderId="0" xfId="0" applyFont="1" applyAlignment="1">
      <alignment horizontal="center"/>
    </xf>
    <xf numFmtId="10" fontId="74" fillId="0" borderId="0" xfId="0" applyNumberFormat="1" applyFont="1" applyAlignment="1">
      <alignment horizontal="center"/>
    </xf>
    <xf numFmtId="0" fontId="15" fillId="21" borderId="0" xfId="0" applyFont="1" applyFill="1" applyAlignment="1">
      <alignment horizontal="left"/>
    </xf>
    <xf numFmtId="10" fontId="15" fillId="21" borderId="0" xfId="2" applyNumberFormat="1" applyFont="1" applyFill="1" applyBorder="1" applyAlignment="1" applyProtection="1">
      <alignment horizontal="right"/>
    </xf>
    <xf numFmtId="44" fontId="15" fillId="21" borderId="0" xfId="1" applyFont="1" applyFill="1" applyBorder="1" applyAlignment="1" applyProtection="1">
      <alignment horizontal="right"/>
    </xf>
    <xf numFmtId="0" fontId="15" fillId="9" borderId="0" xfId="0" applyFont="1" applyFill="1" applyAlignment="1">
      <alignment horizontal="left" vertical="center" wrapText="1"/>
    </xf>
    <xf numFmtId="44" fontId="37" fillId="17" borderId="0" xfId="1" applyFont="1" applyFill="1" applyBorder="1" applyAlignment="1" applyProtection="1">
      <alignment horizontal="left" vertical="center"/>
    </xf>
    <xf numFmtId="165" fontId="0" fillId="0" borderId="0" xfId="2" applyNumberFormat="1" applyFont="1"/>
    <xf numFmtId="10" fontId="0" fillId="0" borderId="0" xfId="2" applyNumberFormat="1" applyFont="1"/>
    <xf numFmtId="10" fontId="17" fillId="9" borderId="4" xfId="0" applyNumberFormat="1" applyFont="1" applyFill="1" applyBorder="1" applyAlignment="1" applyProtection="1">
      <alignment vertical="center"/>
      <protection locked="0"/>
    </xf>
    <xf numFmtId="1" fontId="38" fillId="9" borderId="4" xfId="3" applyNumberFormat="1" applyFont="1" applyFill="1" applyBorder="1" applyAlignment="1" applyProtection="1">
      <alignment horizontal="right" vertical="center"/>
      <protection locked="0"/>
    </xf>
    <xf numFmtId="10" fontId="17" fillId="9" borderId="4" xfId="2" applyNumberFormat="1" applyFont="1" applyFill="1" applyBorder="1" applyAlignment="1" applyProtection="1">
      <alignment vertical="center"/>
      <protection locked="0"/>
    </xf>
    <xf numFmtId="165" fontId="38" fillId="9" borderId="4" xfId="2" applyNumberFormat="1" applyFont="1" applyFill="1" applyBorder="1" applyAlignment="1" applyProtection="1">
      <alignment vertical="center"/>
      <protection locked="0"/>
    </xf>
    <xf numFmtId="165" fontId="17" fillId="9" borderId="4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4" xfId="3" applyNumberFormat="1" applyFont="1" applyFill="1" applyBorder="1" applyAlignment="1" applyProtection="1">
      <alignment vertical="center"/>
      <protection locked="0"/>
    </xf>
    <xf numFmtId="0" fontId="75" fillId="2" borderId="0" xfId="0" applyFont="1" applyFill="1"/>
    <xf numFmtId="0" fontId="70" fillId="2" borderId="29" xfId="17" applyFont="1" applyFill="1" applyBorder="1" applyAlignment="1">
      <alignment vertical="center"/>
    </xf>
    <xf numFmtId="0" fontId="70" fillId="2" borderId="19" xfId="17" applyFont="1" applyFill="1" applyBorder="1" applyAlignment="1">
      <alignment horizontal="center" vertical="center"/>
    </xf>
    <xf numFmtId="14" fontId="70" fillId="2" borderId="19" xfId="17" applyNumberFormat="1" applyFont="1" applyFill="1" applyBorder="1" applyAlignment="1">
      <alignment horizontal="center" vertical="center"/>
    </xf>
    <xf numFmtId="14" fontId="70" fillId="2" borderId="20" xfId="17" applyNumberFormat="1" applyFont="1" applyFill="1" applyBorder="1" applyAlignment="1">
      <alignment horizontal="center" vertical="center"/>
    </xf>
    <xf numFmtId="10" fontId="70" fillId="2" borderId="20" xfId="18" applyNumberFormat="1" applyFont="1" applyFill="1" applyBorder="1" applyAlignment="1">
      <alignment horizontal="center" vertical="center"/>
    </xf>
    <xf numFmtId="14" fontId="70" fillId="2" borderId="20" xfId="0" applyNumberFormat="1" applyFont="1" applyFill="1" applyBorder="1" applyAlignment="1">
      <alignment horizontal="center" vertical="center"/>
    </xf>
    <xf numFmtId="14" fontId="70" fillId="2" borderId="19" xfId="0" applyNumberFormat="1" applyFont="1" applyFill="1" applyBorder="1" applyAlignment="1">
      <alignment horizontal="center" vertical="center"/>
    </xf>
    <xf numFmtId="0" fontId="70" fillId="2" borderId="31" xfId="17" applyFont="1" applyFill="1" applyBorder="1" applyAlignment="1">
      <alignment vertical="center"/>
    </xf>
    <xf numFmtId="0" fontId="70" fillId="2" borderId="32" xfId="17" applyFont="1" applyFill="1" applyBorder="1" applyAlignment="1">
      <alignment horizontal="center" vertical="center"/>
    </xf>
    <xf numFmtId="14" fontId="70" fillId="2" borderId="32" xfId="0" applyNumberFormat="1" applyFont="1" applyFill="1" applyBorder="1" applyAlignment="1">
      <alignment horizontal="center" vertical="center"/>
    </xf>
    <xf numFmtId="14" fontId="70" fillId="2" borderId="33" xfId="0" applyNumberFormat="1" applyFont="1" applyFill="1" applyBorder="1" applyAlignment="1">
      <alignment horizontal="center" vertical="center"/>
    </xf>
    <xf numFmtId="10" fontId="70" fillId="2" borderId="33" xfId="18" applyNumberFormat="1" applyFont="1" applyFill="1" applyBorder="1" applyAlignment="1">
      <alignment horizontal="center" vertical="center"/>
    </xf>
    <xf numFmtId="14" fontId="72" fillId="20" borderId="34" xfId="18" applyNumberFormat="1" applyFont="1" applyFill="1" applyBorder="1" applyAlignment="1">
      <alignment horizontal="center" vertical="center" wrapText="1"/>
    </xf>
    <xf numFmtId="0" fontId="70" fillId="9" borderId="1" xfId="17" applyFont="1" applyFill="1" applyBorder="1" applyAlignment="1">
      <alignment vertical="center"/>
    </xf>
    <xf numFmtId="0" fontId="70" fillId="9" borderId="2" xfId="17" applyFont="1" applyFill="1" applyBorder="1" applyAlignment="1">
      <alignment horizontal="center" vertical="center"/>
    </xf>
    <xf numFmtId="14" fontId="70" fillId="9" borderId="2" xfId="17" applyNumberFormat="1" applyFont="1" applyFill="1" applyBorder="1" applyAlignment="1">
      <alignment horizontal="center" vertical="center"/>
    </xf>
    <xf numFmtId="14" fontId="70" fillId="9" borderId="35" xfId="17" applyNumberFormat="1" applyFont="1" applyFill="1" applyBorder="1" applyAlignment="1">
      <alignment horizontal="center" vertical="center"/>
    </xf>
    <xf numFmtId="10" fontId="70" fillId="9" borderId="35" xfId="18" applyNumberFormat="1" applyFont="1" applyFill="1" applyBorder="1" applyAlignment="1">
      <alignment horizontal="center" vertical="center"/>
    </xf>
    <xf numFmtId="14" fontId="72" fillId="20" borderId="35" xfId="18" applyNumberFormat="1" applyFont="1" applyFill="1" applyBorder="1" applyAlignment="1">
      <alignment horizontal="center" vertical="center"/>
    </xf>
    <xf numFmtId="0" fontId="70" fillId="0" borderId="31" xfId="17" applyFont="1" applyBorder="1" applyAlignment="1">
      <alignment vertical="center"/>
    </xf>
    <xf numFmtId="0" fontId="70" fillId="0" borderId="32" xfId="17" applyFont="1" applyBorder="1" applyAlignment="1">
      <alignment horizontal="center" vertical="center"/>
    </xf>
    <xf numFmtId="14" fontId="70" fillId="0" borderId="32" xfId="17" applyNumberFormat="1" applyFont="1" applyBorder="1" applyAlignment="1">
      <alignment horizontal="center" vertical="center"/>
    </xf>
    <xf numFmtId="14" fontId="70" fillId="0" borderId="33" xfId="17" applyNumberFormat="1" applyFont="1" applyBorder="1" applyAlignment="1">
      <alignment horizontal="center" vertical="center"/>
    </xf>
    <xf numFmtId="10" fontId="70" fillId="0" borderId="33" xfId="18" applyNumberFormat="1" applyFont="1" applyBorder="1" applyAlignment="1">
      <alignment horizontal="center" vertical="center"/>
    </xf>
    <xf numFmtId="44" fontId="27" fillId="9" borderId="0" xfId="0" applyNumberFormat="1" applyFont="1" applyFill="1" applyAlignment="1">
      <alignment horizontal="left"/>
    </xf>
    <xf numFmtId="0" fontId="27" fillId="2" borderId="0" xfId="0" applyFont="1" applyFill="1" applyAlignment="1" applyProtection="1">
      <alignment horizontal="left"/>
      <protection hidden="1"/>
    </xf>
    <xf numFmtId="44" fontId="15" fillId="2" borderId="0" xfId="2" applyNumberFormat="1" applyFont="1" applyFill="1" applyBorder="1" applyAlignment="1" applyProtection="1">
      <alignment horizontal="right"/>
    </xf>
    <xf numFmtId="10" fontId="28" fillId="21" borderId="0" xfId="2" applyNumberFormat="1" applyFont="1" applyFill="1" applyBorder="1" applyAlignment="1" applyProtection="1">
      <alignment horizontal="right"/>
    </xf>
    <xf numFmtId="10" fontId="74" fillId="9" borderId="0" xfId="0" applyNumberFormat="1" applyFont="1" applyFill="1" applyAlignment="1">
      <alignment horizontal="center"/>
    </xf>
    <xf numFmtId="10" fontId="75" fillId="0" borderId="0" xfId="0" applyNumberFormat="1" applyFont="1" applyAlignment="1">
      <alignment horizontal="center"/>
    </xf>
    <xf numFmtId="44" fontId="76" fillId="9" borderId="0" xfId="0" applyNumberFormat="1" applyFont="1" applyFill="1" applyAlignment="1" applyProtection="1">
      <alignment horizontal="left"/>
      <protection hidden="1"/>
    </xf>
    <xf numFmtId="14" fontId="70" fillId="9" borderId="19" xfId="0" applyNumberFormat="1" applyFont="1" applyFill="1" applyBorder="1" applyAlignment="1">
      <alignment horizontal="center" vertical="center"/>
    </xf>
    <xf numFmtId="14" fontId="70" fillId="9" borderId="20" xfId="0" applyNumberFormat="1" applyFont="1" applyFill="1" applyBorder="1" applyAlignment="1">
      <alignment horizontal="center" vertical="center"/>
    </xf>
    <xf numFmtId="10" fontId="70" fillId="9" borderId="20" xfId="2" applyNumberFormat="1" applyFont="1" applyFill="1" applyBorder="1" applyAlignment="1">
      <alignment horizontal="center" vertical="center"/>
    </xf>
    <xf numFmtId="14" fontId="72" fillId="9" borderId="20" xfId="18" applyNumberFormat="1" applyFont="1" applyFill="1" applyBorder="1" applyAlignment="1">
      <alignment horizontal="center" vertical="center"/>
    </xf>
    <xf numFmtId="0" fontId="5" fillId="5" borderId="0" xfId="17" applyFill="1"/>
    <xf numFmtId="0" fontId="2" fillId="5" borderId="0" xfId="17" applyFont="1" applyFill="1"/>
    <xf numFmtId="0" fontId="4" fillId="12" borderId="21" xfId="17" applyFont="1" applyFill="1" applyBorder="1" applyAlignment="1">
      <alignment horizontal="center" vertical="center" wrapText="1"/>
    </xf>
    <xf numFmtId="0" fontId="4" fillId="12" borderId="22" xfId="17" applyFont="1" applyFill="1" applyBorder="1" applyAlignment="1">
      <alignment horizontal="center" vertical="center" wrapText="1"/>
    </xf>
    <xf numFmtId="0" fontId="28" fillId="5" borderId="0" xfId="0" applyFont="1" applyFill="1" applyAlignment="1">
      <alignment horizontal="left"/>
    </xf>
    <xf numFmtId="10" fontId="28" fillId="5" borderId="0" xfId="2" applyNumberFormat="1" applyFont="1" applyFill="1" applyBorder="1" applyAlignment="1" applyProtection="1">
      <alignment horizontal="right"/>
    </xf>
    <xf numFmtId="44" fontId="38" fillId="9" borderId="0" xfId="2" applyNumberFormat="1" applyFont="1" applyFill="1" applyBorder="1" applyAlignment="1" applyProtection="1">
      <alignment horizontal="right" vertical="center"/>
    </xf>
    <xf numFmtId="10" fontId="38" fillId="9" borderId="4" xfId="0" applyNumberFormat="1" applyFont="1" applyFill="1" applyBorder="1" applyAlignment="1" applyProtection="1">
      <alignment horizontal="right" vertical="center"/>
      <protection locked="0"/>
    </xf>
    <xf numFmtId="0" fontId="30" fillId="9" borderId="0" xfId="0" applyFont="1" applyFill="1" applyAlignment="1">
      <alignment horizontal="center" vertical="center"/>
    </xf>
    <xf numFmtId="0" fontId="38" fillId="9" borderId="0" xfId="0" applyFont="1" applyFill="1" applyAlignment="1">
      <alignment horizontal="center" vertical="center"/>
    </xf>
    <xf numFmtId="44" fontId="38" fillId="9" borderId="0" xfId="1" applyFont="1" applyFill="1" applyBorder="1" applyAlignment="1" applyProtection="1">
      <alignment horizontal="right" vertical="center"/>
      <protection locked="0"/>
    </xf>
    <xf numFmtId="10" fontId="17" fillId="9" borderId="0" xfId="2" applyNumberFormat="1" applyFont="1" applyFill="1" applyBorder="1" applyAlignment="1" applyProtection="1">
      <alignment vertical="center"/>
      <protection locked="0"/>
    </xf>
    <xf numFmtId="165" fontId="38" fillId="9" borderId="0" xfId="2" applyNumberFormat="1" applyFont="1" applyFill="1" applyBorder="1" applyAlignment="1" applyProtection="1">
      <alignment vertical="center"/>
      <protection locked="0"/>
    </xf>
    <xf numFmtId="165" fontId="17" fillId="9" borderId="0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0" xfId="3" applyNumberFormat="1" applyFont="1" applyFill="1" applyBorder="1" applyAlignment="1" applyProtection="1">
      <alignment vertical="center"/>
      <protection locked="0"/>
    </xf>
    <xf numFmtId="10" fontId="21" fillId="9" borderId="0" xfId="0" applyNumberFormat="1" applyFont="1" applyFill="1" applyAlignment="1" applyProtection="1">
      <alignment horizontal="center" vertical="center" wrapText="1"/>
      <protection hidden="1"/>
    </xf>
    <xf numFmtId="44" fontId="15" fillId="2" borderId="0" xfId="0" applyNumberFormat="1" applyFont="1" applyFill="1" applyAlignment="1" applyProtection="1">
      <alignment horizontal="left"/>
      <protection hidden="1"/>
    </xf>
    <xf numFmtId="10" fontId="15" fillId="2" borderId="0" xfId="0" applyNumberFormat="1" applyFont="1" applyFill="1" applyAlignment="1" applyProtection="1">
      <alignment horizontal="right"/>
      <protection hidden="1"/>
    </xf>
    <xf numFmtId="0" fontId="74" fillId="23" borderId="0" xfId="0" applyFont="1" applyFill="1"/>
    <xf numFmtId="0" fontId="74" fillId="23" borderId="0" xfId="0" applyFont="1" applyFill="1" applyAlignment="1">
      <alignment horizontal="center"/>
    </xf>
    <xf numFmtId="0" fontId="74" fillId="9" borderId="0" xfId="0" applyFont="1" applyFill="1"/>
    <xf numFmtId="10" fontId="75" fillId="9" borderId="0" xfId="0" applyNumberFormat="1" applyFont="1" applyFill="1" applyAlignment="1">
      <alignment horizontal="center" wrapText="1"/>
    </xf>
    <xf numFmtId="10" fontId="75" fillId="9" borderId="0" xfId="0" applyNumberFormat="1" applyFont="1" applyFill="1" applyAlignment="1">
      <alignment horizontal="center"/>
    </xf>
    <xf numFmtId="0" fontId="74" fillId="0" borderId="16" xfId="0" applyFont="1" applyBorder="1"/>
    <xf numFmtId="0" fontId="74" fillId="0" borderId="16" xfId="0" applyFont="1" applyBorder="1" applyAlignment="1">
      <alignment horizontal="center"/>
    </xf>
    <xf numFmtId="10" fontId="74" fillId="0" borderId="16" xfId="0" applyNumberFormat="1" applyFont="1" applyBorder="1" applyAlignment="1">
      <alignment horizontal="center"/>
    </xf>
    <xf numFmtId="10" fontId="74" fillId="9" borderId="16" xfId="0" applyNumberFormat="1" applyFont="1" applyFill="1" applyBorder="1" applyAlignment="1">
      <alignment horizontal="center"/>
    </xf>
    <xf numFmtId="0" fontId="74" fillId="9" borderId="16" xfId="0" applyFont="1" applyFill="1" applyBorder="1" applyAlignment="1">
      <alignment horizontal="left"/>
    </xf>
    <xf numFmtId="10" fontId="74" fillId="0" borderId="16" xfId="0" applyNumberFormat="1" applyFont="1" applyBorder="1" applyAlignment="1">
      <alignment horizontal="left"/>
    </xf>
    <xf numFmtId="10" fontId="17" fillId="9" borderId="4" xfId="2" applyNumberFormat="1" applyFont="1" applyFill="1" applyBorder="1" applyAlignment="1" applyProtection="1">
      <alignment horizontal="right" vertical="center"/>
      <protection hidden="1"/>
    </xf>
    <xf numFmtId="0" fontId="15" fillId="5" borderId="0" xfId="0" applyFont="1" applyFill="1" applyAlignment="1">
      <alignment horizontal="left"/>
    </xf>
    <xf numFmtId="44" fontId="15" fillId="5" borderId="0" xfId="1" applyFont="1" applyFill="1" applyBorder="1" applyAlignment="1" applyProtection="1">
      <alignment horizontal="right"/>
    </xf>
    <xf numFmtId="0" fontId="79" fillId="21" borderId="0" xfId="0" applyFont="1" applyFill="1" applyAlignment="1">
      <alignment horizontal="left"/>
    </xf>
    <xf numFmtId="10" fontId="79" fillId="21" borderId="0" xfId="2" applyNumberFormat="1" applyFont="1" applyFill="1" applyBorder="1" applyAlignment="1" applyProtection="1">
      <alignment horizontal="right"/>
    </xf>
    <xf numFmtId="0" fontId="80" fillId="9" borderId="0" xfId="0" applyFont="1" applyFill="1" applyAlignment="1" applyProtection="1">
      <alignment horizontal="left"/>
      <protection hidden="1"/>
    </xf>
    <xf numFmtId="0" fontId="74" fillId="9" borderId="16" xfId="0" applyFont="1" applyFill="1" applyBorder="1"/>
    <xf numFmtId="0" fontId="81" fillId="0" borderId="0" xfId="0" applyFont="1"/>
    <xf numFmtId="0" fontId="53" fillId="9" borderId="0" xfId="1" applyNumberFormat="1" applyFont="1" applyFill="1" applyAlignment="1" applyProtection="1">
      <alignment horizontal="right" vertical="center" wrapText="1"/>
      <protection hidden="1"/>
    </xf>
    <xf numFmtId="0" fontId="17" fillId="9" borderId="1" xfId="0" applyFont="1" applyFill="1" applyBorder="1" applyAlignment="1" applyProtection="1">
      <alignment vertical="center"/>
      <protection hidden="1"/>
    </xf>
    <xf numFmtId="44" fontId="0" fillId="0" borderId="2" xfId="0" applyNumberFormat="1" applyBorder="1"/>
    <xf numFmtId="0" fontId="10" fillId="9" borderId="5" xfId="0" applyFont="1" applyFill="1" applyBorder="1" applyAlignment="1" applyProtection="1">
      <alignment horizontal="left"/>
      <protection hidden="1"/>
    </xf>
    <xf numFmtId="0" fontId="17" fillId="9" borderId="3" xfId="0" applyFont="1" applyFill="1" applyBorder="1" applyAlignment="1" applyProtection="1">
      <alignment vertical="center"/>
      <protection hidden="1"/>
    </xf>
    <xf numFmtId="0" fontId="82" fillId="9" borderId="6" xfId="0" applyFont="1" applyFill="1" applyBorder="1" applyAlignment="1" applyProtection="1">
      <alignment horizontal="left" vertical="center" wrapText="1"/>
      <protection hidden="1"/>
    </xf>
    <xf numFmtId="10" fontId="15" fillId="9" borderId="36" xfId="2" applyNumberFormat="1" applyFont="1" applyFill="1" applyBorder="1" applyAlignment="1" applyProtection="1">
      <alignment horizontal="right" vertical="center"/>
      <protection hidden="1"/>
    </xf>
    <xf numFmtId="0" fontId="10" fillId="9" borderId="7" xfId="0" applyFont="1" applyFill="1" applyBorder="1" applyAlignment="1" applyProtection="1">
      <alignment horizontal="left"/>
      <protection hidden="1"/>
    </xf>
    <xf numFmtId="10" fontId="69" fillId="18" borderId="26" xfId="17" applyNumberFormat="1" applyFont="1" applyFill="1" applyBorder="1" applyAlignment="1">
      <alignment horizontal="center" vertical="center"/>
    </xf>
    <xf numFmtId="10" fontId="69" fillId="18" borderId="0" xfId="17" applyNumberFormat="1" applyFont="1" applyFill="1" applyAlignment="1">
      <alignment horizontal="center" vertical="center"/>
    </xf>
    <xf numFmtId="14" fontId="72" fillId="20" borderId="4" xfId="18" applyNumberFormat="1" applyFont="1" applyFill="1" applyBorder="1" applyAlignment="1">
      <alignment horizontal="center" vertical="center"/>
    </xf>
    <xf numFmtId="0" fontId="5" fillId="0" borderId="39" xfId="17" applyBorder="1"/>
    <xf numFmtId="44" fontId="15" fillId="9" borderId="0" xfId="0" applyNumberFormat="1" applyFont="1" applyFill="1" applyAlignment="1" applyProtection="1">
      <alignment horizontal="right" vertical="center"/>
      <protection hidden="1"/>
    </xf>
    <xf numFmtId="174" fontId="15" fillId="9" borderId="0" xfId="2" applyNumberFormat="1" applyFont="1" applyFill="1" applyAlignment="1" applyProtection="1">
      <alignment horizontal="left"/>
      <protection hidden="1"/>
    </xf>
    <xf numFmtId="10" fontId="27" fillId="9" borderId="0" xfId="2" applyNumberFormat="1" applyFont="1" applyFill="1" applyAlignment="1" applyProtection="1">
      <alignment horizontal="center"/>
      <protection hidden="1"/>
    </xf>
    <xf numFmtId="10" fontId="15" fillId="9" borderId="0" xfId="2" applyNumberFormat="1" applyFont="1" applyFill="1" applyAlignment="1" applyProtection="1">
      <alignment horizontal="right"/>
      <protection hidden="1"/>
    </xf>
    <xf numFmtId="10" fontId="15" fillId="9" borderId="0" xfId="2" applyNumberFormat="1" applyFont="1" applyFill="1" applyAlignment="1" applyProtection="1">
      <alignment horizontal="left"/>
      <protection hidden="1"/>
    </xf>
    <xf numFmtId="44" fontId="28" fillId="9" borderId="0" xfId="1" applyFont="1" applyFill="1" applyBorder="1" applyAlignment="1" applyProtection="1">
      <alignment horizontal="right" vertical="center"/>
    </xf>
    <xf numFmtId="174" fontId="15" fillId="0" borderId="0" xfId="2" applyNumberFormat="1" applyFont="1" applyFill="1" applyBorder="1" applyAlignment="1" applyProtection="1">
      <alignment horizontal="right" vertical="center"/>
    </xf>
    <xf numFmtId="0" fontId="82" fillId="9" borderId="0" xfId="0" applyFont="1" applyFill="1" applyAlignment="1" applyProtection="1">
      <alignment horizontal="left"/>
      <protection hidden="1"/>
    </xf>
    <xf numFmtId="0" fontId="69" fillId="18" borderId="3" xfId="17" applyFont="1" applyFill="1" applyBorder="1" applyAlignment="1">
      <alignment vertical="center"/>
    </xf>
    <xf numFmtId="0" fontId="69" fillId="18" borderId="0" xfId="17" applyFont="1" applyFill="1" applyBorder="1" applyAlignment="1">
      <alignment vertical="center"/>
    </xf>
    <xf numFmtId="0" fontId="69" fillId="18" borderId="0" xfId="17" applyFont="1" applyFill="1" applyBorder="1" applyAlignment="1">
      <alignment horizontal="center" vertical="center"/>
    </xf>
    <xf numFmtId="0" fontId="4" fillId="12" borderId="0" xfId="17" applyFont="1" applyFill="1" applyBorder="1" applyAlignment="1">
      <alignment wrapText="1"/>
    </xf>
    <xf numFmtId="14" fontId="73" fillId="5" borderId="4" xfId="18" applyNumberFormat="1" applyFont="1" applyFill="1" applyBorder="1" applyAlignment="1">
      <alignment horizontal="center" vertical="center" wrapText="1"/>
    </xf>
    <xf numFmtId="14" fontId="72" fillId="20" borderId="4" xfId="18" applyNumberFormat="1" applyFont="1" applyFill="1" applyBorder="1" applyAlignment="1">
      <alignment horizontal="center" vertical="center" wrapText="1"/>
    </xf>
    <xf numFmtId="14" fontId="72" fillId="20" borderId="4" xfId="18" applyNumberFormat="1" applyFont="1" applyFill="1" applyBorder="1" applyAlignment="1">
      <alignment vertical="center"/>
    </xf>
    <xf numFmtId="14" fontId="70" fillId="2" borderId="37" xfId="0" applyNumberFormat="1" applyFont="1" applyFill="1" applyBorder="1" applyAlignment="1">
      <alignment horizontal="center" vertical="center"/>
    </xf>
    <xf numFmtId="0" fontId="70" fillId="9" borderId="40" xfId="17" applyFont="1" applyFill="1" applyBorder="1" applyAlignment="1">
      <alignment horizontal="center" vertical="center"/>
    </xf>
    <xf numFmtId="10" fontId="70" fillId="9" borderId="41" xfId="18" applyNumberFormat="1" applyFont="1" applyFill="1" applyBorder="1" applyAlignment="1">
      <alignment horizontal="center" vertical="center"/>
    </xf>
    <xf numFmtId="0" fontId="70" fillId="2" borderId="38" xfId="17" applyFont="1" applyFill="1" applyBorder="1" applyAlignment="1">
      <alignment vertical="center"/>
    </xf>
    <xf numFmtId="10" fontId="70" fillId="2" borderId="23" xfId="2" applyNumberFormat="1" applyFont="1" applyFill="1" applyBorder="1" applyAlignment="1">
      <alignment horizontal="center" vertical="center"/>
    </xf>
    <xf numFmtId="14" fontId="72" fillId="2" borderId="23" xfId="18" applyNumberFormat="1" applyFont="1" applyFill="1" applyBorder="1" applyAlignment="1">
      <alignment horizontal="center" vertical="center"/>
    </xf>
    <xf numFmtId="44" fontId="17" fillId="9" borderId="4" xfId="1" applyFont="1" applyFill="1" applyBorder="1" applyAlignment="1" applyProtection="1">
      <alignment horizontal="right" vertical="center"/>
      <protection locked="0"/>
    </xf>
    <xf numFmtId="0" fontId="15" fillId="9" borderId="3" xfId="0" applyFont="1" applyFill="1" applyBorder="1" applyAlignment="1" applyProtection="1">
      <alignment horizontal="left" vertical="center" wrapText="1"/>
      <protection hidden="1"/>
    </xf>
    <xf numFmtId="0" fontId="15" fillId="9" borderId="6" xfId="0" applyFont="1" applyFill="1" applyBorder="1" applyAlignment="1" applyProtection="1">
      <alignment horizontal="left" vertical="center"/>
      <protection hidden="1"/>
    </xf>
    <xf numFmtId="14" fontId="70" fillId="0" borderId="19" xfId="17" applyNumberFormat="1" applyFont="1" applyFill="1" applyBorder="1" applyAlignment="1">
      <alignment horizontal="center" vertical="center"/>
    </xf>
    <xf numFmtId="14" fontId="70" fillId="0" borderId="19" xfId="0" applyNumberFormat="1" applyFont="1" applyFill="1" applyBorder="1" applyAlignment="1">
      <alignment horizontal="center" vertical="center"/>
    </xf>
    <xf numFmtId="14" fontId="70" fillId="0" borderId="25" xfId="17" applyNumberFormat="1" applyFont="1" applyFill="1" applyBorder="1" applyAlignment="1">
      <alignment horizontal="center" vertical="center"/>
    </xf>
    <xf numFmtId="14" fontId="70" fillId="0" borderId="40" xfId="17" applyNumberFormat="1" applyFont="1" applyFill="1" applyBorder="1" applyAlignment="1">
      <alignment horizontal="center" vertical="center"/>
    </xf>
    <xf numFmtId="0" fontId="70" fillId="0" borderId="29" xfId="17" applyFont="1" applyFill="1" applyBorder="1" applyAlignment="1">
      <alignment vertical="center"/>
    </xf>
    <xf numFmtId="0" fontId="70" fillId="0" borderId="19" xfId="17" applyFont="1" applyFill="1" applyBorder="1" applyAlignment="1">
      <alignment horizontal="center" vertical="center"/>
    </xf>
    <xf numFmtId="14" fontId="70" fillId="0" borderId="20" xfId="17" applyNumberFormat="1" applyFont="1" applyFill="1" applyBorder="1" applyAlignment="1">
      <alignment horizontal="center" vertical="center"/>
    </xf>
    <xf numFmtId="0" fontId="74" fillId="0" borderId="43" xfId="0" applyFont="1" applyBorder="1"/>
    <xf numFmtId="0" fontId="74" fillId="0" borderId="44" xfId="0" applyFont="1" applyBorder="1"/>
    <xf numFmtId="0" fontId="70" fillId="9" borderId="46" xfId="17" applyFont="1" applyFill="1" applyBorder="1" applyAlignment="1">
      <alignment vertical="center"/>
    </xf>
    <xf numFmtId="0" fontId="70" fillId="2" borderId="0" xfId="17" applyFont="1" applyFill="1" applyBorder="1" applyAlignment="1">
      <alignment horizontal="center" vertical="center"/>
    </xf>
    <xf numFmtId="0" fontId="70" fillId="2" borderId="0" xfId="17" applyFont="1" applyFill="1" applyBorder="1" applyAlignment="1">
      <alignment vertical="center"/>
    </xf>
    <xf numFmtId="14" fontId="70" fillId="2" borderId="0" xfId="0" applyNumberFormat="1" applyFont="1" applyFill="1" applyBorder="1" applyAlignment="1">
      <alignment horizontal="center" vertical="center"/>
    </xf>
    <xf numFmtId="0" fontId="70" fillId="9" borderId="47" xfId="17" applyFont="1" applyFill="1" applyBorder="1" applyAlignment="1">
      <alignment vertical="center"/>
    </xf>
    <xf numFmtId="0" fontId="70" fillId="9" borderId="48" xfId="17" applyFont="1" applyFill="1" applyBorder="1" applyAlignment="1">
      <alignment horizontal="center" vertical="center"/>
    </xf>
    <xf numFmtId="14" fontId="70" fillId="0" borderId="48" xfId="0" applyNumberFormat="1" applyFont="1" applyFill="1" applyBorder="1" applyAlignment="1">
      <alignment horizontal="center" vertical="center"/>
    </xf>
    <xf numFmtId="14" fontId="72" fillId="2" borderId="20" xfId="18" applyNumberFormat="1" applyFont="1" applyFill="1" applyBorder="1" applyAlignment="1">
      <alignment horizontal="center" vertical="center"/>
    </xf>
    <xf numFmtId="14" fontId="72" fillId="9" borderId="30" xfId="18" applyNumberFormat="1" applyFont="1" applyFill="1" applyBorder="1" applyAlignment="1">
      <alignment horizontal="center" vertical="center" wrapText="1"/>
    </xf>
    <xf numFmtId="0" fontId="5" fillId="9" borderId="0" xfId="17" applyFill="1"/>
    <xf numFmtId="0" fontId="1" fillId="0" borderId="0" xfId="17" applyFont="1" applyAlignment="1">
      <alignment horizontal="center"/>
    </xf>
    <xf numFmtId="10" fontId="74" fillId="5" borderId="16" xfId="0" applyNumberFormat="1" applyFont="1" applyFill="1" applyBorder="1" applyAlignment="1">
      <alignment horizontal="center"/>
    </xf>
    <xf numFmtId="14" fontId="72" fillId="2" borderId="30" xfId="18" applyNumberFormat="1" applyFont="1" applyFill="1" applyBorder="1" applyAlignment="1">
      <alignment horizontal="center" vertical="center" wrapText="1"/>
    </xf>
    <xf numFmtId="10" fontId="10" fillId="9" borderId="0" xfId="2" applyNumberFormat="1" applyFont="1" applyFill="1" applyBorder="1" applyAlignment="1" applyProtection="1">
      <alignment horizontal="right" vertical="center"/>
      <protection hidden="1"/>
    </xf>
    <xf numFmtId="44" fontId="28" fillId="9" borderId="0" xfId="0" applyNumberFormat="1" applyFont="1" applyFill="1" applyAlignment="1" applyProtection="1">
      <alignment horizontal="left"/>
      <protection hidden="1"/>
    </xf>
    <xf numFmtId="0" fontId="83" fillId="9" borderId="0" xfId="0" applyFont="1" applyFill="1" applyAlignment="1" applyProtection="1">
      <alignment horizontal="center" vertical="center" wrapText="1"/>
      <protection hidden="1"/>
    </xf>
    <xf numFmtId="0" fontId="10" fillId="9" borderId="0" xfId="0" applyFont="1" applyFill="1" applyAlignment="1" applyProtection="1">
      <alignment horizontal="right" vertical="center"/>
      <protection hidden="1"/>
    </xf>
    <xf numFmtId="44" fontId="10" fillId="9" borderId="0" xfId="1" applyFont="1" applyFill="1" applyBorder="1" applyAlignment="1" applyProtection="1">
      <alignment horizontal="right"/>
      <protection locked="0"/>
    </xf>
    <xf numFmtId="44" fontId="21" fillId="9" borderId="0" xfId="1" applyFont="1" applyFill="1" applyBorder="1" applyAlignment="1" applyProtection="1">
      <alignment horizontal="right" vertical="center"/>
      <protection locked="0"/>
    </xf>
    <xf numFmtId="44" fontId="10" fillId="9" borderId="0" xfId="0" applyNumberFormat="1" applyFont="1" applyFill="1" applyAlignment="1" applyProtection="1">
      <alignment horizontal="center" vertical="center" wrapText="1"/>
      <protection hidden="1"/>
    </xf>
    <xf numFmtId="1" fontId="21" fillId="9" borderId="0" xfId="3" applyNumberFormat="1" applyFont="1" applyFill="1" applyBorder="1" applyAlignment="1" applyProtection="1">
      <alignment horizontal="right" vertical="center"/>
      <protection locked="0"/>
    </xf>
    <xf numFmtId="0" fontId="5" fillId="0" borderId="0" xfId="17" applyBorder="1"/>
    <xf numFmtId="0" fontId="74" fillId="0" borderId="16" xfId="0" applyFont="1" applyFill="1" applyBorder="1"/>
    <xf numFmtId="10" fontId="74" fillId="0" borderId="16" xfId="0" applyNumberFormat="1" applyFont="1" applyFill="1" applyBorder="1" applyAlignment="1">
      <alignment horizontal="center"/>
    </xf>
    <xf numFmtId="10" fontId="15" fillId="9" borderId="7" xfId="2" applyNumberFormat="1" applyFont="1" applyFill="1" applyBorder="1" applyAlignment="1" applyProtection="1">
      <alignment horizontal="right" vertical="center"/>
      <protection hidden="1"/>
    </xf>
    <xf numFmtId="10" fontId="15" fillId="17" borderId="0" xfId="2" applyNumberFormat="1" applyFont="1" applyFill="1" applyBorder="1" applyAlignment="1" applyProtection="1">
      <alignment horizontal="right" vertical="center"/>
    </xf>
    <xf numFmtId="0" fontId="64" fillId="0" borderId="0" xfId="13" applyFont="1" applyAlignment="1" applyProtection="1">
      <alignment vertical="center" wrapText="1"/>
      <protection locked="0"/>
    </xf>
    <xf numFmtId="0" fontId="64" fillId="0" borderId="0" xfId="13" applyFont="1" applyAlignment="1" applyProtection="1">
      <alignment horizontal="left" vertical="center" wrapText="1" indent="7"/>
      <protection locked="0"/>
    </xf>
    <xf numFmtId="0" fontId="65" fillId="0" borderId="0" xfId="13" applyFont="1" applyAlignment="1" applyProtection="1">
      <alignment horizontal="left" vertical="center" wrapText="1" indent="7"/>
      <protection locked="0"/>
    </xf>
    <xf numFmtId="175" fontId="64" fillId="0" borderId="0" xfId="13" applyNumberFormat="1" applyFont="1" applyAlignment="1" applyProtection="1">
      <alignment horizontal="left" vertical="center" wrapText="1"/>
      <protection hidden="1"/>
    </xf>
    <xf numFmtId="0" fontId="70" fillId="17" borderId="47" xfId="17" applyFont="1" applyFill="1" applyBorder="1" applyAlignment="1">
      <alignment vertical="center"/>
    </xf>
    <xf numFmtId="0" fontId="70" fillId="17" borderId="19" xfId="17" applyFont="1" applyFill="1" applyBorder="1" applyAlignment="1">
      <alignment horizontal="center" vertical="center"/>
    </xf>
    <xf numFmtId="14" fontId="70" fillId="17" borderId="48" xfId="0" applyNumberFormat="1" applyFont="1" applyFill="1" applyBorder="1" applyAlignment="1">
      <alignment horizontal="center" vertical="center"/>
    </xf>
    <xf numFmtId="14" fontId="70" fillId="17" borderId="20" xfId="0" applyNumberFormat="1" applyFont="1" applyFill="1" applyBorder="1" applyAlignment="1">
      <alignment horizontal="center" vertical="center"/>
    </xf>
    <xf numFmtId="10" fontId="70" fillId="17" borderId="20" xfId="2" applyNumberFormat="1" applyFont="1" applyFill="1" applyBorder="1" applyAlignment="1">
      <alignment horizontal="center" vertical="center"/>
    </xf>
    <xf numFmtId="10" fontId="70" fillId="17" borderId="20" xfId="18" applyNumberFormat="1" applyFont="1" applyFill="1" applyBorder="1" applyAlignment="1">
      <alignment horizontal="center" vertical="center"/>
    </xf>
    <xf numFmtId="14" fontId="72" fillId="17" borderId="20" xfId="18" applyNumberFormat="1" applyFont="1" applyFill="1" applyBorder="1" applyAlignment="1">
      <alignment horizontal="center" vertical="center"/>
    </xf>
    <xf numFmtId="14" fontId="70" fillId="9" borderId="37" xfId="0" applyNumberFormat="1" applyFont="1" applyFill="1" applyBorder="1" applyAlignment="1">
      <alignment horizontal="center" vertical="center"/>
    </xf>
    <xf numFmtId="0" fontId="70" fillId="17" borderId="29" xfId="17" applyFont="1" applyFill="1" applyBorder="1" applyAlignment="1">
      <alignment vertical="center"/>
    </xf>
    <xf numFmtId="14" fontId="70" fillId="17" borderId="19" xfId="0" applyNumberFormat="1" applyFont="1" applyFill="1" applyBorder="1" applyAlignment="1">
      <alignment horizontal="center" vertical="center"/>
    </xf>
    <xf numFmtId="0" fontId="70" fillId="17" borderId="31" xfId="17" applyFont="1" applyFill="1" applyBorder="1" applyAlignment="1">
      <alignment vertical="center"/>
    </xf>
    <xf numFmtId="0" fontId="70" fillId="17" borderId="32" xfId="17" applyFont="1" applyFill="1" applyBorder="1" applyAlignment="1">
      <alignment horizontal="center" vertical="center"/>
    </xf>
    <xf numFmtId="14" fontId="70" fillId="17" borderId="32" xfId="0" applyNumberFormat="1" applyFont="1" applyFill="1" applyBorder="1" applyAlignment="1">
      <alignment horizontal="center" vertical="center"/>
    </xf>
    <xf numFmtId="14" fontId="70" fillId="17" borderId="33" xfId="0" applyNumberFormat="1" applyFont="1" applyFill="1" applyBorder="1" applyAlignment="1">
      <alignment horizontal="center" vertical="center"/>
    </xf>
    <xf numFmtId="10" fontId="70" fillId="17" borderId="33" xfId="18" applyNumberFormat="1" applyFont="1" applyFill="1" applyBorder="1" applyAlignment="1">
      <alignment horizontal="center" vertical="center"/>
    </xf>
    <xf numFmtId="14" fontId="72" fillId="17" borderId="33" xfId="18" applyNumberFormat="1" applyFont="1" applyFill="1" applyBorder="1" applyAlignment="1">
      <alignment horizontal="center" vertical="center"/>
    </xf>
    <xf numFmtId="176" fontId="15" fillId="9" borderId="0" xfId="0" applyNumberFormat="1" applyFont="1" applyFill="1" applyAlignment="1" applyProtection="1">
      <alignment horizontal="right"/>
      <protection hidden="1"/>
    </xf>
    <xf numFmtId="4" fontId="28" fillId="9" borderId="0" xfId="0" applyNumberFormat="1" applyFont="1" applyFill="1" applyAlignment="1" applyProtection="1">
      <alignment horizontal="left"/>
      <protection hidden="1"/>
    </xf>
    <xf numFmtId="10" fontId="84" fillId="9" borderId="16" xfId="0" applyNumberFormat="1" applyFont="1" applyFill="1" applyBorder="1" applyAlignment="1">
      <alignment horizontal="center"/>
    </xf>
    <xf numFmtId="44" fontId="28" fillId="9" borderId="0" xfId="1" applyFont="1" applyFill="1" applyBorder="1" applyAlignment="1" applyProtection="1">
      <alignment horizontal="left" vertical="center"/>
      <protection hidden="1"/>
    </xf>
    <xf numFmtId="44" fontId="28" fillId="9" borderId="0" xfId="0" applyNumberFormat="1" applyFont="1" applyFill="1" applyAlignment="1" applyProtection="1">
      <alignment horizontal="left" vertical="center" wrapText="1"/>
      <protection hidden="1"/>
    </xf>
    <xf numFmtId="44" fontId="28" fillId="9" borderId="0" xfId="0" applyNumberFormat="1" applyFont="1" applyFill="1" applyAlignment="1" applyProtection="1">
      <alignment horizontal="right" vertical="center"/>
      <protection hidden="1"/>
    </xf>
    <xf numFmtId="0" fontId="28" fillId="9" borderId="0" xfId="0" applyFont="1" applyFill="1" applyAlignment="1" applyProtection="1">
      <alignment horizontal="left" vertical="center"/>
      <protection hidden="1"/>
    </xf>
    <xf numFmtId="10" fontId="85" fillId="9" borderId="0" xfId="2" applyNumberFormat="1" applyFont="1" applyFill="1" applyBorder="1" applyAlignment="1" applyProtection="1">
      <alignment vertical="center"/>
    </xf>
    <xf numFmtId="10" fontId="74" fillId="0" borderId="0" xfId="0" applyNumberFormat="1" applyFont="1" applyFill="1" applyAlignment="1">
      <alignment horizontal="center"/>
    </xf>
    <xf numFmtId="0" fontId="74" fillId="2" borderId="45" xfId="0" applyFont="1" applyFill="1" applyBorder="1"/>
    <xf numFmtId="2" fontId="15" fillId="9" borderId="0" xfId="0" applyNumberFormat="1" applyFont="1" applyFill="1" applyAlignment="1" applyProtection="1">
      <alignment vertical="center"/>
      <protection locked="0"/>
    </xf>
    <xf numFmtId="0" fontId="84" fillId="0" borderId="0" xfId="0" applyFont="1"/>
    <xf numFmtId="10" fontId="74" fillId="23" borderId="0" xfId="0" applyNumberFormat="1" applyFont="1" applyFill="1" applyAlignment="1">
      <alignment horizontal="center"/>
    </xf>
    <xf numFmtId="0" fontId="74" fillId="23" borderId="16" xfId="0" applyFont="1" applyFill="1" applyBorder="1"/>
    <xf numFmtId="10" fontId="74" fillId="23" borderId="16" xfId="0" applyNumberFormat="1" applyFont="1" applyFill="1" applyBorder="1" applyAlignment="1">
      <alignment horizontal="center"/>
    </xf>
    <xf numFmtId="10" fontId="75" fillId="5" borderId="0" xfId="0" applyNumberFormat="1" applyFont="1" applyFill="1" applyAlignment="1">
      <alignment horizontal="center"/>
    </xf>
    <xf numFmtId="10" fontId="77" fillId="5" borderId="0" xfId="0" applyNumberFormat="1" applyFont="1" applyFill="1" applyAlignment="1">
      <alignment horizontal="center"/>
    </xf>
    <xf numFmtId="0" fontId="29" fillId="9" borderId="0" xfId="0" applyFont="1" applyFill="1" applyAlignment="1" applyProtection="1">
      <alignment horizontal="center" vertical="center" wrapText="1"/>
      <protection hidden="1"/>
    </xf>
    <xf numFmtId="0" fontId="30" fillId="9" borderId="0" xfId="0" applyFont="1" applyFill="1" applyAlignment="1" applyProtection="1">
      <alignment horizontal="center" vertical="center"/>
      <protection hidden="1"/>
    </xf>
    <xf numFmtId="0" fontId="38" fillId="9" borderId="0" xfId="0" applyFont="1" applyFill="1" applyAlignment="1" applyProtection="1">
      <alignment horizontal="center" vertical="center"/>
      <protection hidden="1"/>
    </xf>
    <xf numFmtId="0" fontId="30" fillId="9" borderId="0" xfId="0" applyFont="1" applyFill="1" applyAlignment="1">
      <alignment horizontal="center" vertical="center"/>
    </xf>
    <xf numFmtId="0" fontId="38" fillId="9" borderId="0" xfId="0" applyFont="1" applyFill="1" applyAlignment="1">
      <alignment horizontal="center" vertical="center"/>
    </xf>
    <xf numFmtId="0" fontId="38" fillId="3" borderId="0" xfId="0" applyFont="1" applyFill="1" applyAlignment="1" applyProtection="1">
      <alignment horizontal="center" vertical="center" wrapText="1"/>
      <protection hidden="1"/>
    </xf>
    <xf numFmtId="44" fontId="10" fillId="9" borderId="0" xfId="0" applyNumberFormat="1" applyFont="1" applyFill="1" applyAlignment="1" applyProtection="1">
      <alignment horizontal="center" vertical="center" wrapText="1"/>
      <protection hidden="1"/>
    </xf>
    <xf numFmtId="0" fontId="10" fillId="3" borderId="0" xfId="0" applyFont="1" applyFill="1" applyAlignment="1" applyProtection="1">
      <alignment horizontal="center" vertical="center" wrapText="1"/>
      <protection hidden="1"/>
    </xf>
    <xf numFmtId="166" fontId="15" fillId="9" borderId="0" xfId="2" applyNumberFormat="1" applyFont="1" applyFill="1" applyAlignment="1" applyProtection="1">
      <alignment horizontal="right" vertical="center" wrapText="1"/>
      <protection hidden="1"/>
    </xf>
    <xf numFmtId="166" fontId="15" fillId="9" borderId="0" xfId="2" applyNumberFormat="1" applyFont="1" applyFill="1" applyAlignment="1" applyProtection="1">
      <alignment horizontal="right"/>
      <protection hidden="1"/>
    </xf>
    <xf numFmtId="43" fontId="51" fillId="9" borderId="0" xfId="14" applyFont="1" applyFill="1" applyBorder="1" applyAlignment="1" applyProtection="1">
      <alignment horizontal="right" vertical="center"/>
      <protection hidden="1"/>
    </xf>
    <xf numFmtId="0" fontId="44" fillId="9" borderId="0" xfId="13" applyFont="1" applyFill="1" applyAlignment="1" applyProtection="1">
      <alignment horizontal="right"/>
      <protection hidden="1"/>
    </xf>
    <xf numFmtId="43" fontId="47" fillId="9" borderId="0" xfId="14" applyFont="1" applyFill="1" applyBorder="1" applyAlignment="1" applyProtection="1">
      <alignment horizontal="right" vertical="center"/>
      <protection hidden="1"/>
    </xf>
    <xf numFmtId="43" fontId="47" fillId="9" borderId="0" xfId="14" applyFont="1" applyFill="1" applyBorder="1" applyAlignment="1" applyProtection="1">
      <alignment horizontal="left" vertical="center"/>
      <protection hidden="1"/>
    </xf>
    <xf numFmtId="0" fontId="50" fillId="9" borderId="0" xfId="13" applyFont="1" applyFill="1" applyAlignment="1">
      <alignment horizontal="right" vertical="center" wrapText="1"/>
    </xf>
    <xf numFmtId="0" fontId="44" fillId="9" borderId="0" xfId="13" applyFont="1" applyFill="1" applyAlignment="1">
      <alignment horizontal="center"/>
    </xf>
    <xf numFmtId="0" fontId="64" fillId="0" borderId="0" xfId="13" applyFont="1" applyAlignment="1" applyProtection="1">
      <alignment horizontal="left" vertical="center" wrapText="1" indent="9"/>
      <protection locked="0"/>
    </xf>
    <xf numFmtId="0" fontId="65" fillId="0" borderId="0" xfId="13" applyFont="1" applyAlignment="1" applyProtection="1">
      <alignment horizontal="left" vertical="center" wrapText="1" indent="9"/>
      <protection locked="0"/>
    </xf>
    <xf numFmtId="0" fontId="65" fillId="0" borderId="0" xfId="13" applyFont="1" applyAlignment="1" applyProtection="1">
      <alignment horizontal="left" vertical="center" indent="9"/>
      <protection locked="0"/>
    </xf>
    <xf numFmtId="171" fontId="51" fillId="9" borderId="0" xfId="14" applyNumberFormat="1" applyFont="1" applyFill="1" applyBorder="1" applyAlignment="1" applyProtection="1">
      <alignment horizontal="right" vertical="center" wrapText="1"/>
      <protection hidden="1"/>
    </xf>
    <xf numFmtId="43" fontId="51" fillId="9" borderId="0" xfId="14" applyFont="1" applyFill="1" applyBorder="1" applyAlignment="1" applyProtection="1">
      <alignment horizontal="right" vertical="center" wrapText="1"/>
      <protection hidden="1"/>
    </xf>
    <xf numFmtId="0" fontId="75" fillId="21" borderId="0" xfId="0" applyFont="1" applyFill="1" applyAlignment="1">
      <alignment horizontal="center"/>
    </xf>
    <xf numFmtId="44" fontId="77" fillId="0" borderId="0" xfId="1" applyFont="1" applyAlignment="1">
      <alignment horizontal="left"/>
    </xf>
    <xf numFmtId="0" fontId="75" fillId="22" borderId="0" xfId="0" applyFont="1" applyFill="1" applyAlignment="1">
      <alignment horizontal="center"/>
    </xf>
    <xf numFmtId="0" fontId="75" fillId="17" borderId="0" xfId="0" applyFont="1" applyFill="1" applyAlignment="1">
      <alignment horizontal="center"/>
    </xf>
    <xf numFmtId="0" fontId="75" fillId="17" borderId="42" xfId="0" applyFont="1" applyFill="1" applyBorder="1" applyAlignment="1">
      <alignment horizontal="center"/>
    </xf>
    <xf numFmtId="44" fontId="17" fillId="9" borderId="0" xfId="0" applyNumberFormat="1" applyFont="1" applyFill="1" applyAlignment="1" applyProtection="1">
      <alignment horizontal="center" vertical="center" wrapText="1"/>
      <protection hidden="1"/>
    </xf>
    <xf numFmtId="0" fontId="2" fillId="5" borderId="36" xfId="17" applyFont="1" applyFill="1" applyBorder="1" applyAlignment="1">
      <alignment horizontal="center" vertical="center"/>
    </xf>
    <xf numFmtId="0" fontId="5" fillId="5" borderId="36" xfId="17" applyFill="1" applyBorder="1" applyAlignment="1">
      <alignment horizontal="center" vertical="center"/>
    </xf>
    <xf numFmtId="0" fontId="10" fillId="3" borderId="0" xfId="0" applyFont="1" applyFill="1" applyAlignment="1" applyProtection="1">
      <alignment horizontal="center" vertical="center"/>
      <protection hidden="1"/>
    </xf>
    <xf numFmtId="0" fontId="20" fillId="8" borderId="0" xfId="0" applyFont="1" applyFill="1" applyAlignment="1" applyProtection="1">
      <alignment horizontal="center" vertical="center"/>
      <protection hidden="1"/>
    </xf>
    <xf numFmtId="0" fontId="29" fillId="3" borderId="0" xfId="0" applyFont="1" applyFill="1" applyAlignment="1" applyProtection="1">
      <alignment horizontal="center" wrapText="1"/>
      <protection hidden="1"/>
    </xf>
    <xf numFmtId="0" fontId="21" fillId="3" borderId="0" xfId="0" applyFont="1" applyFill="1" applyAlignment="1" applyProtection="1">
      <alignment horizontal="center" wrapText="1"/>
      <protection hidden="1"/>
    </xf>
    <xf numFmtId="0" fontId="17" fillId="5" borderId="0" xfId="0" applyFont="1" applyFill="1" applyAlignment="1" applyProtection="1">
      <alignment horizontal="center" vertical="center"/>
      <protection hidden="1"/>
    </xf>
    <xf numFmtId="0" fontId="24" fillId="5" borderId="0" xfId="0" applyFont="1" applyFill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 wrapText="1"/>
      <protection hidden="1"/>
    </xf>
    <xf numFmtId="0" fontId="9" fillId="0" borderId="0" xfId="0" applyFont="1" applyAlignment="1">
      <alignment horizontal="center" vertical="center"/>
    </xf>
    <xf numFmtId="10" fontId="17" fillId="24" borderId="7" xfId="2" applyNumberFormat="1" applyFont="1" applyFill="1" applyBorder="1" applyAlignment="1" applyProtection="1">
      <alignment horizontal="right" vertical="center"/>
      <protection locked="0"/>
    </xf>
  </cellXfs>
  <cellStyles count="19">
    <cellStyle name="Гиперссылка" xfId="11" builtinId="8"/>
    <cellStyle name="Денежный" xfId="1" builtinId="4"/>
    <cellStyle name="Денежный 2" xfId="6" xr:uid="{25FB4C17-EE04-421D-8D11-FAD9F819A14B}"/>
    <cellStyle name="Денежный 3" xfId="9" xr:uid="{23B206AF-5FCA-4710-A5B4-DF5900585BB8}"/>
    <cellStyle name="Денежный 4" xfId="16" xr:uid="{ADC38B4F-5023-4942-94D6-32B5BAF3B3C8}"/>
    <cellStyle name="Нейтральный" xfId="12" builtinId="28"/>
    <cellStyle name="Обычный" xfId="0" builtinId="0"/>
    <cellStyle name="Обычный 2" xfId="4" xr:uid="{556B7941-A543-4CE8-9E3F-50215A2BDE78}"/>
    <cellStyle name="Обычный 3" xfId="8" xr:uid="{B3AD4A66-DF7D-450A-9D53-B6CB306711DF}"/>
    <cellStyle name="Обычный 4" xfId="13" xr:uid="{4F928252-1BBA-4A25-880B-B9174F3E3D0A}"/>
    <cellStyle name="Обычный 5" xfId="17" xr:uid="{1082807F-9E9E-46CF-ACF4-628904780C71}"/>
    <cellStyle name="Процентный" xfId="2" builtinId="5"/>
    <cellStyle name="Процентный 2" xfId="7" xr:uid="{D9D92AEA-0C7C-496B-B855-5B02C4D4FBE7}"/>
    <cellStyle name="Процентный 3" xfId="10" xr:uid="{D54BE259-B15B-433D-8056-0DBAB0C279F0}"/>
    <cellStyle name="Процентный 4" xfId="15" xr:uid="{3BD6B3E0-BAC6-48DB-9B6A-B41F69045ADF}"/>
    <cellStyle name="Процентный 5" xfId="18" xr:uid="{CA19EB72-AD02-4D32-9B5A-DACD6EB2552D}"/>
    <cellStyle name="Финансовый" xfId="3" builtinId="3"/>
    <cellStyle name="Финансовый 2" xfId="5" xr:uid="{5C56AC0E-6D50-4DC4-A5CE-AA10026A8DBC}"/>
    <cellStyle name="Финансовый 3" xfId="14" xr:uid="{6DE63C51-A3C4-4878-B949-5AB5CD7282CA}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color theme="1"/>
      </font>
      <border>
        <bottom style="thin">
          <color theme="5"/>
        </bottom>
        <vertical/>
        <horizontal/>
      </border>
    </dxf>
    <dxf>
      <font>
        <sz val="12"/>
        <color theme="1"/>
      </font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  <horizontal/>
      </border>
    </dxf>
  </dxfs>
  <tableStyles count="1" defaultTableStyle="TableStyleMedium2" defaultPivotStyle="PivotStyleLight16">
    <tableStyle name="SlicerStyleDark2 22" pivot="0" table="0" count="10" xr9:uid="{0A8A3FB0-D0E9-43AB-9203-9D872137F16C}">
      <tableStyleElement type="wholeTable" dxfId="11"/>
      <tableStyleElement type="headerRow" dxfId="10"/>
    </tableStyle>
  </tableStyles>
  <colors>
    <mruColors>
      <color rgb="FFFF6600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5" tint="-0.249977111117893"/>
          </font>
          <fill>
            <patternFill patternType="solid">
              <fgColor theme="5" tint="0.59999389629810485"/>
              <bgColor theme="5" tint="0.59999389629810485"/>
            </patternFill>
          </fill>
          <border>
            <left style="thin">
              <color theme="5" tint="0.59999389629810485"/>
            </left>
            <right style="thin">
              <color theme="5" tint="0.59999389629810485"/>
            </right>
            <top style="thin">
              <color theme="5" tint="0.59999389629810485"/>
            </top>
            <bottom style="thin">
              <color theme="5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2 2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1086970</xdr:colOff>
      <xdr:row>1</xdr:row>
      <xdr:rowOff>11207</xdr:rowOff>
    </xdr:from>
    <xdr:ext cx="1385385" cy="403412"/>
    <xdr:pic>
      <xdr:nvPicPr>
        <xdr:cNvPr id="2" name="Рисунок 1">
          <a:extLst>
            <a:ext uri="{FF2B5EF4-FFF2-40B4-BE49-F238E27FC236}">
              <a16:creationId xmlns:a16="http://schemas.microsoft.com/office/drawing/2014/main" id="{C91268F1-AC08-43A2-848A-8540B5C21D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10945345" y="201707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437029</xdr:colOff>
      <xdr:row>1</xdr:row>
      <xdr:rowOff>112061</xdr:rowOff>
    </xdr:from>
    <xdr:to>
      <xdr:col>2</xdr:col>
      <xdr:colOff>1693850</xdr:colOff>
      <xdr:row>1</xdr:row>
      <xdr:rowOff>616325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D87E1E0-7517-4262-9986-81C02A04F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7554" y="302561"/>
          <a:ext cx="1256821" cy="504264"/>
        </a:xfrm>
        <a:prstGeom prst="rect">
          <a:avLst/>
        </a:prstGeom>
      </xdr:spPr>
    </xdr:pic>
    <xdr:clientData/>
  </xdr:twoCellAnchor>
  <xdr:twoCellAnchor editAs="oneCell">
    <xdr:from>
      <xdr:col>9</xdr:col>
      <xdr:colOff>324969</xdr:colOff>
      <xdr:row>1</xdr:row>
      <xdr:rowOff>123264</xdr:rowOff>
    </xdr:from>
    <xdr:to>
      <xdr:col>9</xdr:col>
      <xdr:colOff>1710354</xdr:colOff>
      <xdr:row>1</xdr:row>
      <xdr:rowOff>526676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D191583-E77C-453C-998E-901D40E908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14841069" y="313764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2005853</xdr:colOff>
      <xdr:row>1</xdr:row>
      <xdr:rowOff>134471</xdr:rowOff>
    </xdr:from>
    <xdr:ext cx="1385385" cy="403412"/>
    <xdr:pic>
      <xdr:nvPicPr>
        <xdr:cNvPr id="4" name="Рисунок 3">
          <a:extLst>
            <a:ext uri="{FF2B5EF4-FFF2-40B4-BE49-F238E27FC236}">
              <a16:creationId xmlns:a16="http://schemas.microsoft.com/office/drawing/2014/main" id="{1FACFFC8-DF7D-4269-8BF5-0079B048BC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30390353" y="324971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437029</xdr:colOff>
      <xdr:row>1</xdr:row>
      <xdr:rowOff>112061</xdr:rowOff>
    </xdr:from>
    <xdr:to>
      <xdr:col>2</xdr:col>
      <xdr:colOff>1693850</xdr:colOff>
      <xdr:row>1</xdr:row>
      <xdr:rowOff>616325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0551D0D-578B-4A39-B91E-99639888C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7554" y="302561"/>
          <a:ext cx="1256821" cy="504264"/>
        </a:xfrm>
        <a:prstGeom prst="rect">
          <a:avLst/>
        </a:prstGeom>
      </xdr:spPr>
    </xdr:pic>
    <xdr:clientData/>
  </xdr:twoCellAnchor>
  <xdr:twoCellAnchor editAs="oneCell">
    <xdr:from>
      <xdr:col>5</xdr:col>
      <xdr:colOff>324969</xdr:colOff>
      <xdr:row>1</xdr:row>
      <xdr:rowOff>123264</xdr:rowOff>
    </xdr:from>
    <xdr:to>
      <xdr:col>5</xdr:col>
      <xdr:colOff>1710354</xdr:colOff>
      <xdr:row>1</xdr:row>
      <xdr:rowOff>526676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E211C67-2F85-4EA0-AC89-0130D1183E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8164044" y="313764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1086970</xdr:colOff>
      <xdr:row>1</xdr:row>
      <xdr:rowOff>11207</xdr:rowOff>
    </xdr:from>
    <xdr:ext cx="1385385" cy="403412"/>
    <xdr:pic>
      <xdr:nvPicPr>
        <xdr:cNvPr id="5" name="Рисунок 4">
          <a:extLst>
            <a:ext uri="{FF2B5EF4-FFF2-40B4-BE49-F238E27FC236}">
              <a16:creationId xmlns:a16="http://schemas.microsoft.com/office/drawing/2014/main" id="{26579F29-865B-491E-AAD0-F274B2938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9872382" y="201707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145675</xdr:colOff>
      <xdr:row>1</xdr:row>
      <xdr:rowOff>100852</xdr:rowOff>
    </xdr:from>
    <xdr:to>
      <xdr:col>2</xdr:col>
      <xdr:colOff>1527250</xdr:colOff>
      <xdr:row>1</xdr:row>
      <xdr:rowOff>498549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0A13C25-05C2-4545-88BA-034361307A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1431550" y="291352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28575</xdr:rowOff>
    </xdr:from>
    <xdr:to>
      <xdr:col>2</xdr:col>
      <xdr:colOff>957866</xdr:colOff>
      <xdr:row>10</xdr:row>
      <xdr:rowOff>133350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A75109A-39A0-4133-AC2A-DD035048C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 b="12500"/>
        <a:stretch>
          <a:fillRect/>
        </a:stretch>
      </xdr:blipFill>
      <xdr:spPr bwMode="auto">
        <a:xfrm>
          <a:off x="161925" y="219075"/>
          <a:ext cx="19294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722842</xdr:colOff>
      <xdr:row>52</xdr:row>
      <xdr:rowOff>93363</xdr:rowOff>
    </xdr:from>
    <xdr:to>
      <xdr:col>17</xdr:col>
      <xdr:colOff>442728</xdr:colOff>
      <xdr:row>69</xdr:row>
      <xdr:rowOff>170740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6F540A3-CE77-4222-BAD9-D11DCC8D9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97642" y="8418213"/>
          <a:ext cx="4977686" cy="3511820"/>
        </a:xfrm>
        <a:prstGeom prst="rect">
          <a:avLst/>
        </a:prstGeom>
      </xdr:spPr>
    </xdr:pic>
    <xdr:clientData/>
  </xdr:twoCellAnchor>
  <xdr:twoCellAnchor>
    <xdr:from>
      <xdr:col>14</xdr:col>
      <xdr:colOff>843214</xdr:colOff>
      <xdr:row>55</xdr:row>
      <xdr:rowOff>294190</xdr:rowOff>
    </xdr:from>
    <xdr:to>
      <xdr:col>17</xdr:col>
      <xdr:colOff>47347</xdr:colOff>
      <xdr:row>69</xdr:row>
      <xdr:rowOff>103318</xdr:rowOff>
    </xdr:to>
    <xdr:sp macro="" textlink="">
      <xdr:nvSpPr>
        <xdr:cNvPr id="5" name="Текст 1">
          <a:extLst>
            <a:ext uri="{FF2B5EF4-FFF2-40B4-BE49-F238E27FC236}">
              <a16:creationId xmlns:a16="http://schemas.microsoft.com/office/drawing/2014/main" id="{04EBDE5A-5B61-4B94-B2EB-B8EFCF9F0EE4}"/>
            </a:ext>
          </a:extLst>
        </xdr:cNvPr>
        <xdr:cNvSpPr>
          <a:spLocks noGrp="1"/>
        </xdr:cNvSpPr>
      </xdr:nvSpPr>
      <xdr:spPr>
        <a:xfrm>
          <a:off x="29837314" y="9000040"/>
          <a:ext cx="2442633" cy="2590428"/>
        </a:xfrm>
        <a:prstGeom prst="rect">
          <a:avLst/>
        </a:prstGeom>
      </xdr:spPr>
      <xdr:txBody>
        <a:bodyPr wrap="square" lIns="0" tIns="0" rIns="0" bIns="0" anchor="b"/>
        <a:lstStyle>
          <a:lvl1pPr marL="0" indent="0" algn="l" defTabSz="276515" rtl="0" eaLnBrk="1" latinLnBrk="0" hangingPunct="1">
            <a:lnSpc>
              <a:spcPct val="100000"/>
            </a:lnSpc>
            <a:spcBef>
              <a:spcPts val="0"/>
            </a:spcBef>
            <a:buFont typeface="Arial" panose="020B0604020202020204" pitchFamily="34" charset="0"/>
            <a:buNone/>
            <a:defRPr lang="ru-RU" sz="800" kern="1200" dirty="0">
              <a:solidFill>
                <a:schemeClr val="bg2"/>
              </a:solidFill>
              <a:latin typeface="+mn-lt"/>
              <a:ea typeface="+mn-ea"/>
              <a:cs typeface="+mn-cs"/>
            </a:defRPr>
          </a:lvl1pPr>
          <a:lvl2pPr marL="207386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345643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483900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622158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760415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898672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1036930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1175187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ru-RU" sz="1400">
              <a:latin typeface="+mj-lt"/>
            </a:rPr>
            <a:t>ВИШНЕВСКАЯ</a:t>
          </a:r>
        </a:p>
        <a:p>
          <a:r>
            <a:rPr lang="ru-RU" sz="1400">
              <a:latin typeface="+mj-lt"/>
            </a:rPr>
            <a:t>МАРИНА</a:t>
          </a:r>
        </a:p>
        <a:p>
          <a:pPr>
            <a:lnSpc>
              <a:spcPct val="150000"/>
            </a:lnSpc>
          </a:pPr>
          <a:r>
            <a:rPr lang="ru-RU" sz="1200"/>
            <a:t>Менеджер по ипотеке</a:t>
          </a:r>
        </a:p>
        <a:p>
          <a:endParaRPr lang="ru-RU" sz="1400">
            <a:latin typeface="+mj-lt"/>
          </a:endParaRPr>
        </a:p>
        <a:p>
          <a:endParaRPr lang="ru-RU" sz="1200">
            <a:latin typeface="+mj-lt"/>
          </a:endParaRPr>
        </a:p>
        <a:p>
          <a:endParaRPr lang="ru-RU" sz="1200">
            <a:latin typeface="+mj-lt"/>
          </a:endParaRPr>
        </a:p>
        <a:p>
          <a:endParaRPr lang="ru-RU" sz="1400">
            <a:latin typeface="+mj-lt"/>
          </a:endParaRPr>
        </a:p>
        <a:p>
          <a:endParaRPr lang="ru-RU" sz="800">
            <a:latin typeface="+mj-lt"/>
          </a:endParaRPr>
        </a:p>
        <a:p>
          <a:r>
            <a:rPr lang="en-US" sz="1200"/>
            <a:t>+7(916) 050-30-54</a:t>
          </a:r>
        </a:p>
        <a:p>
          <a:r>
            <a:rPr lang="en-US" sz="1200"/>
            <a:t>ipoteka.1Lermontovskiy@fsk.ru</a:t>
          </a:r>
        </a:p>
        <a:p>
          <a:r>
            <a:rPr lang="en-US" sz="1200"/>
            <a:t>www.dsk1.ru</a:t>
          </a:r>
        </a:p>
        <a:p>
          <a:endParaRPr lang="ru-RU" sz="1400">
            <a:latin typeface="+mj-lt"/>
          </a:endParaRPr>
        </a:p>
      </xdr:txBody>
    </xdr:sp>
    <xdr:clientData/>
  </xdr:twoCellAnchor>
  <xdr:twoCellAnchor editAs="oneCell">
    <xdr:from>
      <xdr:col>11</xdr:col>
      <xdr:colOff>695355</xdr:colOff>
      <xdr:row>43</xdr:row>
      <xdr:rowOff>0</xdr:rowOff>
    </xdr:from>
    <xdr:to>
      <xdr:col>13</xdr:col>
      <xdr:colOff>191898</xdr:colOff>
      <xdr:row>74</xdr:row>
      <xdr:rowOff>46506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1A1CB18-03B0-4B66-9EFB-870B00D286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1" r="1213"/>
        <a:stretch/>
      </xdr:blipFill>
      <xdr:spPr>
        <a:xfrm>
          <a:off x="30432405" y="9301691"/>
          <a:ext cx="3535143" cy="5198170"/>
        </a:xfrm>
        <a:prstGeom prst="rect">
          <a:avLst/>
        </a:prstGeom>
      </xdr:spPr>
    </xdr:pic>
    <xdr:clientData/>
  </xdr:twoCellAnchor>
  <xdr:twoCellAnchor>
    <xdr:from>
      <xdr:col>11</xdr:col>
      <xdr:colOff>1354264</xdr:colOff>
      <xdr:row>53</xdr:row>
      <xdr:rowOff>152372</xdr:rowOff>
    </xdr:from>
    <xdr:to>
      <xdr:col>12</xdr:col>
      <xdr:colOff>1502431</xdr:colOff>
      <xdr:row>67</xdr:row>
      <xdr:rowOff>177478</xdr:rowOff>
    </xdr:to>
    <xdr:sp macro="" textlink="">
      <xdr:nvSpPr>
        <xdr:cNvPr id="7" name="Текст 2">
          <a:extLst>
            <a:ext uri="{FF2B5EF4-FFF2-40B4-BE49-F238E27FC236}">
              <a16:creationId xmlns:a16="http://schemas.microsoft.com/office/drawing/2014/main" id="{4B559E16-2F6F-47C2-B864-CA7E1D4D7490}"/>
            </a:ext>
          </a:extLst>
        </xdr:cNvPr>
        <xdr:cNvSpPr>
          <a:spLocks noGrp="1"/>
        </xdr:cNvSpPr>
      </xdr:nvSpPr>
      <xdr:spPr>
        <a:xfrm>
          <a:off x="24290464" y="10496522"/>
          <a:ext cx="2167467" cy="2615906"/>
        </a:xfrm>
        <a:prstGeom prst="rect">
          <a:avLst/>
        </a:prstGeom>
        <a:ln w="12700">
          <a:miter lim="400000"/>
        </a:ln>
        <a:extLst>
          <a:ext uri="{C572A759-6A51-4108-AA02-DFA0A04FC94B}">
            <ma14:wrappingTextBoxFlag xmlns:r="http://schemas.openxmlformats.org/officeDocument/2006/relationships" xmlns:p="http://schemas.openxmlformats.org/presentationml/2006/main" xmlns:ma14="http://schemas.microsoft.com/office/mac/drawingml/2011/main" xmlns:a14="http://schemas.microsoft.com/office/drawing/2010/main" xmlns:m="http://schemas.openxmlformats.org/officeDocument/2006/math" xmlns="" xmlns:lc="http://schemas.openxmlformats.org/drawingml/2006/lockedCanvas" val="1"/>
          </a:ext>
        </a:extLst>
      </xdr:spPr>
      <xdr:txBody>
        <a:bodyPr wrap="square" lIns="0" tIns="0" rIns="0" bIns="0">
          <a:spAutoFit/>
        </a:bodyPr>
        <a:lstStyle>
          <a:lvl1pPr marL="46086" marR="0" indent="0" algn="ctr" defTabSz="368686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None/>
            <a:tabLst/>
            <a:defRPr lang="ru-RU" sz="600" b="0" i="0" u="none" strike="noStrike" cap="none" spc="0" baseline="0" smtClean="0">
              <a:solidFill>
                <a:schemeClr val="bg1"/>
              </a:solidFill>
              <a:uFillTx/>
              <a:latin typeface="+mn-lt"/>
              <a:ea typeface="+mn-ea"/>
              <a:cs typeface="+mn-cs"/>
              <a:sym typeface="Arial"/>
            </a:defRPr>
          </a:lvl1pPr>
          <a:lvl2pPr marL="240670" marR="0" indent="0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None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2pPr>
          <a:lvl3pPr marL="425013" marR="0" indent="0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None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3pPr>
          <a:lvl4pPr marL="609356" marR="0" indent="0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None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4pPr>
          <a:lvl5pPr marL="793699" marR="0" indent="0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None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5pPr>
          <a:lvl6pPr marL="1142634" marR="0" indent="-164592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Char char="■"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6pPr>
          <a:lvl7pPr marL="1326977" marR="0" indent="-164592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Char char="●"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7pPr>
          <a:lvl8pPr marL="1511320" marR="0" indent="-164592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Char char="○"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8pPr>
          <a:lvl9pPr marL="1695663" marR="0" indent="-164592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Char char="■"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9pPr>
        </a:lstStyle>
        <a:p>
          <a:r>
            <a:rPr lang="ru-RU" sz="1100">
              <a:latin typeface="DINPT-Regular"/>
            </a:rPr>
            <a:t>ИВАШЕЧКИНА</a:t>
          </a:r>
        </a:p>
        <a:p>
          <a:r>
            <a:rPr lang="ru-RU" sz="1100">
              <a:latin typeface="DINPT-Regular"/>
            </a:rPr>
            <a:t>НАТАЛЬЯ</a:t>
          </a:r>
        </a:p>
        <a:p>
          <a:endParaRPr lang="ru-RU" sz="1100">
            <a:latin typeface="DINPT-Regular"/>
          </a:endParaRPr>
        </a:p>
        <a:p>
          <a:endParaRPr lang="ru-RU" sz="1100">
            <a:latin typeface="DINPT-Regular"/>
          </a:endParaRPr>
        </a:p>
        <a:p>
          <a:r>
            <a:rPr lang="ru-RU" sz="1050">
              <a:latin typeface="DINPT-Regular"/>
            </a:rPr>
            <a:t>Менеджер по ипотеке</a:t>
          </a:r>
        </a:p>
        <a:p>
          <a:endParaRPr lang="ru-RU" sz="1050">
            <a:latin typeface="DINPT-Regular"/>
          </a:endParaRPr>
        </a:p>
        <a:p>
          <a:endParaRPr lang="ru-RU" sz="1050">
            <a:latin typeface="DINPT-Regular"/>
          </a:endParaRPr>
        </a:p>
        <a:p>
          <a:endParaRPr lang="ru-RU" sz="1050">
            <a:latin typeface="DINPT-Regular"/>
          </a:endParaRPr>
        </a:p>
        <a:p>
          <a:endParaRPr lang="ru-RU" sz="1050">
            <a:latin typeface="DINPT-Regular"/>
          </a:endParaRPr>
        </a:p>
        <a:p>
          <a:r>
            <a:rPr lang="ru-RU" sz="1000">
              <a:latin typeface="DINPT-Regular"/>
            </a:rPr>
            <a:t>141031, Московская обл.,</a:t>
          </a:r>
        </a:p>
        <a:p>
          <a:r>
            <a:rPr lang="ru-RU" sz="1000">
              <a:latin typeface="DINPT-Regular"/>
            </a:rPr>
            <a:t>Мытищинский район, пос. Нагорное</a:t>
          </a:r>
          <a:endParaRPr lang="en-US" sz="1000">
            <a:latin typeface="DINPT-Regular"/>
          </a:endParaRPr>
        </a:p>
        <a:p>
          <a:r>
            <a:rPr lang="ru-RU" sz="1000">
              <a:latin typeface="DINPT-Regular"/>
            </a:rPr>
            <a:t>Тел.: +7 (495) 995-88-80, доб.: 4344</a:t>
          </a:r>
        </a:p>
        <a:p>
          <a:r>
            <a:rPr lang="ru-RU" sz="1000">
              <a:latin typeface="DINPT-Regular"/>
            </a:rPr>
            <a:t>Моб.: +7 (985) 848-83-15</a:t>
          </a:r>
        </a:p>
        <a:p>
          <a:r>
            <a:rPr lang="en-US" sz="1000">
              <a:latin typeface="DINPT-Regular"/>
            </a:rPr>
            <a:t>ipoteka.datskiy@fsk.ru</a:t>
          </a:r>
        </a:p>
        <a:p>
          <a:r>
            <a:rPr lang="en-US" sz="1000">
              <a:latin typeface="DINPT-Regular"/>
            </a:rPr>
            <a:t>fsk.ru</a:t>
          </a:r>
          <a:endParaRPr lang="ru-RU" sz="1000">
            <a:latin typeface="DINPT-Regular"/>
          </a:endParaRPr>
        </a:p>
        <a:p>
          <a:endParaRPr lang="ru-RU" sz="1100">
            <a:latin typeface="DINPT-Regular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2</xdr:row>
      <xdr:rowOff>66675</xdr:rowOff>
    </xdr:from>
    <xdr:to>
      <xdr:col>11</xdr:col>
      <xdr:colOff>95250</xdr:colOff>
      <xdr:row>11</xdr:row>
      <xdr:rowOff>114300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F5B4C585-5B18-032B-C426-DF3A8B191C04}"/>
            </a:ext>
          </a:extLst>
        </xdr:cNvPr>
        <xdr:cNvCxnSpPr/>
      </xdr:nvCxnSpPr>
      <xdr:spPr>
        <a:xfrm>
          <a:off x="6686550" y="447675"/>
          <a:ext cx="3371850" cy="1762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179916</xdr:colOff>
      <xdr:row>13</xdr:row>
      <xdr:rowOff>57150</xdr:rowOff>
    </xdr:from>
    <xdr:to>
      <xdr:col>11</xdr:col>
      <xdr:colOff>47626</xdr:colOff>
      <xdr:row>13</xdr:row>
      <xdr:rowOff>66735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A054974E-037B-53CB-C0FC-3B98F3AE0F3E}"/>
            </a:ext>
          </a:extLst>
        </xdr:cNvPr>
        <xdr:cNvCxnSpPr/>
      </xdr:nvCxnSpPr>
      <xdr:spPr>
        <a:xfrm flipH="1">
          <a:off x="5154083" y="2533650"/>
          <a:ext cx="4714876" cy="958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453801</xdr:colOff>
      <xdr:row>3</xdr:row>
      <xdr:rowOff>102255</xdr:rowOff>
    </xdr:from>
    <xdr:to>
      <xdr:col>9</xdr:col>
      <xdr:colOff>64703</xdr:colOff>
      <xdr:row>6</xdr:row>
      <xdr:rowOff>16530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68F27AA-15A7-2418-BCEA-9BB778DD7173}"/>
            </a:ext>
          </a:extLst>
        </xdr:cNvPr>
        <xdr:cNvSpPr txBox="1"/>
      </xdr:nvSpPr>
      <xdr:spPr>
        <a:xfrm rot="1253435">
          <a:off x="6676801" y="673755"/>
          <a:ext cx="1484152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900"/>
            <a:t>Комиссия + расчетная наценка</a:t>
          </a:r>
        </a:p>
      </xdr:txBody>
    </xdr:sp>
    <xdr:clientData/>
  </xdr:twoCellAnchor>
  <xdr:twoCellAnchor>
    <xdr:from>
      <xdr:col>4</xdr:col>
      <xdr:colOff>209550</xdr:colOff>
      <xdr:row>10</xdr:row>
      <xdr:rowOff>28576</xdr:rowOff>
    </xdr:from>
    <xdr:to>
      <xdr:col>6</xdr:col>
      <xdr:colOff>444869</xdr:colOff>
      <xdr:row>12</xdr:row>
      <xdr:rowOff>133351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28BACA2-E023-4DBE-AB7C-3292ED41C631}"/>
            </a:ext>
          </a:extLst>
        </xdr:cNvPr>
        <xdr:cNvSpPr txBox="1"/>
      </xdr:nvSpPr>
      <xdr:spPr>
        <a:xfrm>
          <a:off x="6515100" y="1933576"/>
          <a:ext cx="1454519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900"/>
            <a:t>Итоговая наценка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145675</xdr:colOff>
      <xdr:row>1</xdr:row>
      <xdr:rowOff>100852</xdr:rowOff>
    </xdr:from>
    <xdr:to>
      <xdr:col>2</xdr:col>
      <xdr:colOff>1531060</xdr:colOff>
      <xdr:row>1</xdr:row>
      <xdr:rowOff>504264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AECA398-960A-44FE-A977-4767ABB858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1431550" y="291352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542925</xdr:colOff>
      <xdr:row>4</xdr:row>
      <xdr:rowOff>66675</xdr:rowOff>
    </xdr:from>
    <xdr:to>
      <xdr:col>14</xdr:col>
      <xdr:colOff>323268</xdr:colOff>
      <xdr:row>18</xdr:row>
      <xdr:rowOff>190151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13B5427-82B9-F626-4A58-C4F7985A2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1575" y="1400175"/>
          <a:ext cx="4657143" cy="27904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145675</xdr:colOff>
      <xdr:row>1</xdr:row>
      <xdr:rowOff>100852</xdr:rowOff>
    </xdr:from>
    <xdr:to>
      <xdr:col>2</xdr:col>
      <xdr:colOff>1531060</xdr:colOff>
      <xdr:row>1</xdr:row>
      <xdr:rowOff>504264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68A8691-FFDB-4174-8309-FE1DC719B2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1423146" y="291352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437029</xdr:colOff>
      <xdr:row>1</xdr:row>
      <xdr:rowOff>158749</xdr:rowOff>
    </xdr:from>
    <xdr:to>
      <xdr:col>2</xdr:col>
      <xdr:colOff>1693850</xdr:colOff>
      <xdr:row>1</xdr:row>
      <xdr:rowOff>616324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9057DD3-DC63-B9FE-7089-04FAD6675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8612" y="349249"/>
          <a:ext cx="1256821" cy="4575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Чурюкина Екатерина Александровна" id="{93642A80-657A-4C8B-ACAB-6949B6216F0B}" userId="S::ChuryukinaEA@fsk.ru::daeafad8-4069-4b49-b03c-93c0014de5f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1" dT="2023-08-22T17:10:54.30" personId="{93642A80-657A-4C8B-ACAB-6949B6216F0B}" id="{13057CC2-33B4-4077-BCDC-285D7BF10213}">
    <text>Объекты ФСК -3%
ДСК - 2% 
Клиент от ГК ФСК - 1,5%</text>
  </threadedComment>
  <threadedComment ref="B37" dT="2023-08-22T17:55:48.37" personId="{93642A80-657A-4C8B-ACAB-6949B6216F0B}" id="{4EFE689A-A799-4AF9-9560-C4DCA1A62695}">
    <text>Облагаются НДС, если реализуется жилой дом, не сданный в эксплуатацию.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1" dT="2023-08-22T17:10:54.30" personId="{93642A80-657A-4C8B-ACAB-6949B6216F0B}" id="{C27EACD5-13F7-48E5-9DC3-5DB1AA69D388}">
    <text>Объекты ФСК -3%
ДСК - 2% 
Клиент от ГК ФСК - 1,5%</text>
  </threadedComment>
  <threadedComment ref="G11" dT="2023-08-22T17:10:54.30" personId="{93642A80-657A-4C8B-ACAB-6949B6216F0B}" id="{199339D7-D865-4EC4-BFBC-6A8FFC7C0B82}">
    <text>Объекты ФСК -3%
ДСК - 2% 
Клиент от ГК ФСК - 1,5%</text>
  </threadedComment>
  <threadedComment ref="B37" dT="2023-08-22T17:55:48.37" personId="{93642A80-657A-4C8B-ACAB-6949B6216F0B}" id="{62CD9414-D97B-4F69-AA2F-96ECA7ED1C44}">
    <text>Облагаются НДС, если реализуется жилой дом, не сданный в эксплуатацию.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11" dT="2023-08-22T17:10:54.30" personId="{93642A80-657A-4C8B-ACAB-6949B6216F0B}" id="{8A21D349-AD86-4318-B871-AB028FDD02B5}">
    <text>Объекты ФСК -3%
ДСК - 2% 
Клиент от ГК ФСК - 1,5%</text>
  </threadedComment>
  <threadedComment ref="B37" dT="2023-08-22T17:55:48.37" personId="{93642A80-657A-4C8B-ACAB-6949B6216F0B}" id="{91C6713D-5F87-4A32-8BC1-F2CBAF6AE4C1}">
    <text>Облагаются НДС, если реализуется жилой дом, не сданный в эксплуатацию.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calc.nmarket.pro/43dsCls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9028F-9791-4D84-84B5-4C93B4602134}">
  <dimension ref="A1:X77"/>
  <sheetViews>
    <sheetView zoomScale="85" zoomScaleNormal="85" workbookViewId="0">
      <selection activeCell="C42" sqref="C42"/>
    </sheetView>
  </sheetViews>
  <sheetFormatPr defaultRowHeight="15" outlineLevelRow="1" outlineLevelCol="1"/>
  <cols>
    <col min="1" max="1" width="26.5703125" customWidth="1"/>
    <col min="2" max="2" width="8.42578125" style="54" customWidth="1" outlineLevel="1"/>
    <col min="3" max="3" width="54" style="54" customWidth="1" outlineLevel="1"/>
    <col min="4" max="4" width="35.42578125" customWidth="1" outlineLevel="1"/>
    <col min="5" max="5" width="23.5703125" style="145" customWidth="1" outlineLevel="1"/>
    <col min="6" max="6" width="23.42578125" style="54" customWidth="1" outlineLevel="1"/>
    <col min="7" max="7" width="19.5703125" style="54" customWidth="1" outlineLevel="1"/>
    <col min="8" max="8" width="25.5703125" style="35" customWidth="1"/>
    <col min="9" max="24" width="23.5703125" customWidth="1"/>
  </cols>
  <sheetData>
    <row r="1" spans="1:24">
      <c r="A1" s="12"/>
      <c r="B1" s="45"/>
      <c r="C1" s="76"/>
      <c r="D1" s="76"/>
      <c r="E1" s="137"/>
      <c r="F1" s="128"/>
      <c r="G1" s="45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51.75" customHeight="1">
      <c r="A2" s="12"/>
      <c r="B2" s="121"/>
      <c r="C2" s="524" t="s">
        <v>84</v>
      </c>
      <c r="D2" s="524"/>
      <c r="E2" s="524"/>
      <c r="F2" s="128"/>
      <c r="G2" s="45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>
      <c r="A3" s="12"/>
      <c r="B3" s="45"/>
      <c r="C3" s="46"/>
      <c r="D3" s="55"/>
      <c r="E3" s="138"/>
      <c r="F3" s="128"/>
      <c r="G3" s="45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>
      <c r="A4" s="12"/>
      <c r="B4" s="45"/>
      <c r="C4" s="46" t="s">
        <v>11</v>
      </c>
      <c r="D4" s="59">
        <v>13215550</v>
      </c>
      <c r="E4" s="138"/>
      <c r="F4" s="128"/>
      <c r="G4" s="45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>
      <c r="A5" s="12"/>
      <c r="B5" s="45"/>
      <c r="C5" s="46" t="s">
        <v>12</v>
      </c>
      <c r="D5" s="59">
        <v>0</v>
      </c>
      <c r="E5" s="138"/>
      <c r="F5" s="128"/>
      <c r="G5" s="4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s="105" customFormat="1">
      <c r="A6" s="30"/>
      <c r="B6" s="120"/>
      <c r="C6" s="50" t="s">
        <v>104</v>
      </c>
      <c r="D6" s="127">
        <v>0.14000000000000001</v>
      </c>
      <c r="E6" s="103" t="s">
        <v>108</v>
      </c>
      <c r="F6" s="128"/>
      <c r="G6" s="120"/>
      <c r="H6" s="30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>
      <c r="A7" s="12"/>
      <c r="B7" s="45"/>
      <c r="C7" s="46" t="s">
        <v>43</v>
      </c>
      <c r="D7" s="80">
        <v>0.15</v>
      </c>
      <c r="E7" s="136"/>
      <c r="F7" s="128"/>
      <c r="G7" s="45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>
      <c r="A8" s="12"/>
      <c r="B8" s="45"/>
      <c r="C8" s="46" t="s">
        <v>15</v>
      </c>
      <c r="D8" s="81">
        <v>360</v>
      </c>
      <c r="E8" s="139">
        <v>1</v>
      </c>
      <c r="F8" s="128"/>
      <c r="G8" s="77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>
      <c r="A9" s="12"/>
      <c r="B9" s="46"/>
      <c r="C9" s="46" t="s">
        <v>19</v>
      </c>
      <c r="D9" s="82">
        <v>7.3999999999999996E-2</v>
      </c>
      <c r="E9" s="138"/>
      <c r="F9" s="128"/>
      <c r="G9" s="45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36.75" customHeight="1">
      <c r="A10" s="12"/>
      <c r="B10" s="46"/>
      <c r="C10" s="46" t="s">
        <v>102</v>
      </c>
      <c r="D10" s="148">
        <f>D4*(100%-D6)</f>
        <v>11365373</v>
      </c>
      <c r="E10" s="138"/>
      <c r="F10" s="128"/>
      <c r="G10" s="45"/>
      <c r="H10" s="12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>
      <c r="A11" s="12"/>
      <c r="B11" s="46"/>
      <c r="C11" s="46"/>
      <c r="D11" s="82"/>
      <c r="E11" s="138"/>
      <c r="F11" s="128"/>
      <c r="G11" s="45"/>
      <c r="H11" s="12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>
      <c r="A12" s="12"/>
      <c r="B12" s="46"/>
      <c r="C12" s="46"/>
      <c r="D12" s="82"/>
      <c r="E12" s="138"/>
      <c r="F12" s="128"/>
      <c r="G12" s="45"/>
      <c r="H12" s="12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idden="1">
      <c r="A13" s="12"/>
      <c r="B13" s="46"/>
      <c r="C13" s="46" t="s">
        <v>51</v>
      </c>
      <c r="D13" s="47">
        <f>D10*(100%-D7)</f>
        <v>9660567.0499999989</v>
      </c>
      <c r="E13" s="140"/>
      <c r="F13" s="131"/>
      <c r="G13" s="47"/>
      <c r="H13" s="12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hidden="1">
      <c r="A14" s="12"/>
      <c r="B14" s="46"/>
      <c r="C14" s="46" t="s">
        <v>52</v>
      </c>
      <c r="D14" s="62">
        <f>PMT(D9/12,D8,-D13)</f>
        <v>66887.814825363836</v>
      </c>
      <c r="E14" s="138"/>
      <c r="F14" s="128"/>
      <c r="G14" s="45"/>
      <c r="H14" s="12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hidden="1" outlineLevel="1">
      <c r="A15" s="12"/>
      <c r="B15" s="46"/>
      <c r="C15" s="46" t="s">
        <v>50</v>
      </c>
      <c r="D15" s="47">
        <f>D4*(100%-D6)*E7</f>
        <v>0</v>
      </c>
      <c r="E15" s="138"/>
      <c r="F15" s="128"/>
      <c r="G15" s="45"/>
      <c r="H15" s="12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hidden="1" outlineLevel="1">
      <c r="A16" s="12"/>
      <c r="B16" s="46"/>
      <c r="C16" s="46" t="s">
        <v>56</v>
      </c>
      <c r="D16" s="64">
        <f>(1-(100%-D7)*D17)</f>
        <v>0.82150000000000001</v>
      </c>
      <c r="E16" s="138"/>
      <c r="F16" s="128"/>
      <c r="G16" s="45"/>
      <c r="H16" s="12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outlineLevel="1">
      <c r="A17" s="12"/>
      <c r="B17" s="46"/>
      <c r="C17" s="46" t="s">
        <v>32</v>
      </c>
      <c r="D17" s="63">
        <v>0.21</v>
      </c>
      <c r="E17" s="93" t="s">
        <v>110</v>
      </c>
      <c r="F17" s="128"/>
      <c r="G17" s="45"/>
      <c r="H17" s="12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outlineLevel="1">
      <c r="A18" s="12"/>
      <c r="B18" s="46"/>
      <c r="C18" s="46" t="s">
        <v>64</v>
      </c>
      <c r="D18" s="125">
        <f>D10*D17</f>
        <v>2386728.33</v>
      </c>
      <c r="E18" s="141"/>
      <c r="F18" s="128"/>
      <c r="G18" s="45"/>
      <c r="H18" s="12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>
      <c r="A19" s="12"/>
      <c r="B19" s="46"/>
      <c r="C19" s="132"/>
      <c r="D19" s="133"/>
      <c r="E19" s="141"/>
      <c r="F19" s="134"/>
      <c r="G19" s="132"/>
      <c r="H19" s="12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>
      <c r="A20" s="12"/>
      <c r="B20" s="46"/>
      <c r="C20" s="49" t="s">
        <v>24</v>
      </c>
      <c r="D20" s="66">
        <f>D10+D18</f>
        <v>13752101.33</v>
      </c>
      <c r="E20" s="141"/>
      <c r="F20" s="135"/>
      <c r="G20" s="90"/>
      <c r="H20" s="12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>
      <c r="A21" s="12"/>
      <c r="B21" s="46"/>
      <c r="C21" s="49" t="s">
        <v>30</v>
      </c>
      <c r="D21" s="67">
        <f>D20*(100%-D7)</f>
        <v>11689286.1305</v>
      </c>
      <c r="E21" s="141"/>
      <c r="F21" s="126"/>
      <c r="G21" s="67"/>
      <c r="H21" s="12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ht="18" customHeight="1">
      <c r="A22" s="12"/>
      <c r="B22" s="46"/>
      <c r="C22" s="49" t="s">
        <v>45</v>
      </c>
      <c r="D22" s="67">
        <f>D20-D21</f>
        <v>2062815.1995000001</v>
      </c>
      <c r="E22" s="141"/>
      <c r="F22" s="126"/>
      <c r="G22" s="67"/>
      <c r="H22" s="12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>
      <c r="A23" s="12"/>
      <c r="B23" s="46"/>
      <c r="C23" s="49" t="s">
        <v>46</v>
      </c>
      <c r="D23" s="68">
        <f>D22/D20</f>
        <v>0.15</v>
      </c>
      <c r="E23" s="141" t="s">
        <v>111</v>
      </c>
      <c r="F23" s="126"/>
      <c r="G23" s="67"/>
      <c r="H23" s="12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>
      <c r="A24" s="12"/>
      <c r="B24" s="46"/>
      <c r="C24" s="49" t="s">
        <v>22</v>
      </c>
      <c r="D24" s="87">
        <f>PMT(D9/12,D8,-D21)</f>
        <v>80934.255938690258</v>
      </c>
      <c r="E24" s="141"/>
      <c r="F24" s="126"/>
      <c r="G24" s="67"/>
      <c r="H24" s="12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ht="28.5" customHeight="1">
      <c r="A25" s="12"/>
      <c r="B25" s="46"/>
      <c r="C25" s="49" t="s">
        <v>57</v>
      </c>
      <c r="D25" s="85">
        <f>(D20*D7)</f>
        <v>2062815.1994999999</v>
      </c>
      <c r="E25" s="149" t="s">
        <v>112</v>
      </c>
      <c r="F25" s="126"/>
      <c r="G25" s="67"/>
      <c r="H25" s="12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>
      <c r="A26" s="12"/>
      <c r="B26" s="46"/>
      <c r="C26" s="50" t="s">
        <v>106</v>
      </c>
      <c r="D26" s="67">
        <f>IF(D25&gt;5000000,(5000000*13%+(D25-5000000)*15%),D25*13%)</f>
        <v>268165.97593499999</v>
      </c>
      <c r="E26" s="141"/>
      <c r="F26" s="126"/>
      <c r="G26" s="67"/>
      <c r="H26" s="12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>
      <c r="A27" s="12"/>
      <c r="B27" s="46"/>
      <c r="C27" s="50" t="s">
        <v>109</v>
      </c>
      <c r="D27" s="67">
        <f>D25+D26</f>
        <v>2330981.1754350001</v>
      </c>
      <c r="E27" s="142">
        <f>D27/D20</f>
        <v>0.16950000000000001</v>
      </c>
      <c r="F27" s="126"/>
      <c r="G27" s="67"/>
      <c r="H27" s="12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>
      <c r="A28" s="12"/>
      <c r="B28" s="46"/>
      <c r="C28" s="49" t="s">
        <v>25</v>
      </c>
      <c r="D28" s="86" t="b">
        <f>D27&lt;=D18</f>
        <v>1</v>
      </c>
      <c r="E28" s="141"/>
      <c r="F28" s="126"/>
      <c r="G28" s="67"/>
      <c r="H28" s="12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>
      <c r="A29" s="12"/>
      <c r="B29" s="46"/>
      <c r="C29" s="49"/>
      <c r="D29" s="49"/>
      <c r="E29" s="141"/>
      <c r="F29" s="126"/>
      <c r="G29" s="67"/>
      <c r="H29" s="12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outlineLevel="1">
      <c r="A30" s="12"/>
      <c r="B30" s="46"/>
      <c r="C30" s="49"/>
      <c r="D30" s="49"/>
      <c r="E30" s="141"/>
      <c r="F30" s="134"/>
      <c r="G30" s="132"/>
      <c r="H30" s="12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outlineLevel="1">
      <c r="A31" s="12"/>
      <c r="B31" s="46"/>
      <c r="C31" s="49"/>
      <c r="D31" s="49"/>
      <c r="E31" s="143"/>
      <c r="F31" s="128"/>
      <c r="G31" s="45"/>
      <c r="H31" s="12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outlineLevel="1">
      <c r="A32" s="12"/>
      <c r="B32" s="46"/>
      <c r="C32" s="49"/>
      <c r="D32" s="49"/>
      <c r="E32" s="141"/>
      <c r="F32" s="128"/>
      <c r="G32" s="45"/>
      <c r="H32" s="12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outlineLevel="1">
      <c r="A33" s="12"/>
      <c r="B33" s="46"/>
      <c r="C33" s="49"/>
      <c r="D33" s="49"/>
      <c r="E33" s="141"/>
      <c r="F33" s="128"/>
      <c r="G33" s="45"/>
      <c r="H33" s="12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ht="27" customHeight="1">
      <c r="A34" s="12"/>
      <c r="B34" s="46"/>
      <c r="C34" s="49"/>
      <c r="D34" s="86"/>
      <c r="E34" s="141"/>
      <c r="F34" s="128"/>
      <c r="G34" s="45"/>
      <c r="H34" s="12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>
      <c r="A35" s="12"/>
      <c r="B35" s="46"/>
      <c r="C35" s="46"/>
      <c r="D35" s="45"/>
      <c r="E35" s="143"/>
      <c r="F35" s="128"/>
      <c r="G35" s="45"/>
      <c r="H35" s="12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>
      <c r="A36" s="12"/>
      <c r="B36" s="46"/>
      <c r="C36" s="525" t="s">
        <v>41</v>
      </c>
      <c r="D36" s="525"/>
      <c r="E36" s="143"/>
      <c r="F36" s="128"/>
      <c r="G36" s="45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>
      <c r="A37" s="12"/>
      <c r="B37" s="46"/>
      <c r="C37" s="46" t="s">
        <v>42</v>
      </c>
      <c r="D37" s="84">
        <f>D24-D14</f>
        <v>14046.441113326422</v>
      </c>
      <c r="E37" s="138"/>
      <c r="F37" s="128"/>
      <c r="G37" s="45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>
      <c r="A38" s="12"/>
      <c r="B38" s="46"/>
      <c r="C38" s="46" t="s">
        <v>54</v>
      </c>
      <c r="D38" s="48">
        <f>D26/D37</f>
        <v>19.091382206456565</v>
      </c>
      <c r="E38" s="138"/>
      <c r="F38" s="128"/>
      <c r="G38" s="45"/>
      <c r="H38" s="83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>
      <c r="A39" s="12"/>
      <c r="B39" s="46"/>
      <c r="C39" s="46" t="s">
        <v>55</v>
      </c>
      <c r="D39" s="48">
        <f>D38/12</f>
        <v>1.5909485172047138</v>
      </c>
      <c r="E39" s="138"/>
      <c r="F39" s="128"/>
      <c r="G39" s="45"/>
      <c r="H39" s="83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</row>
    <row r="40" spans="1:24">
      <c r="A40" s="12"/>
      <c r="B40" s="46"/>
      <c r="C40" s="46"/>
      <c r="D40" s="46"/>
      <c r="E40" s="138"/>
      <c r="F40" s="128"/>
      <c r="G40" s="45"/>
      <c r="H40" s="12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  <row r="41" spans="1:24">
      <c r="A41" s="12"/>
      <c r="B41" s="45"/>
      <c r="C41" s="46" t="s">
        <v>29</v>
      </c>
      <c r="D41" s="63">
        <f>(D21-D25)/D4-100%</f>
        <v>-0.27158000000000004</v>
      </c>
      <c r="E41" s="138"/>
      <c r="F41" s="128"/>
      <c r="G41" s="45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>
      <c r="A42" s="12"/>
      <c r="B42" s="45"/>
      <c r="C42" s="46" t="s">
        <v>28</v>
      </c>
      <c r="D42" s="65">
        <f>D20-D4</f>
        <v>536551.33000000007</v>
      </c>
      <c r="E42" s="138"/>
      <c r="F42" s="128"/>
      <c r="G42" s="45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>
      <c r="A43" s="12"/>
      <c r="B43" s="45"/>
      <c r="C43" s="46" t="s">
        <v>31</v>
      </c>
      <c r="D43" s="63">
        <f>D42/D4*(-1)</f>
        <v>-4.0600000000000004E-2</v>
      </c>
      <c r="E43" s="138"/>
      <c r="F43" s="128"/>
      <c r="G43" s="45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>
      <c r="A44" s="12"/>
      <c r="B44" s="45"/>
      <c r="C44" s="46"/>
      <c r="D44" s="63"/>
      <c r="E44" s="138"/>
      <c r="F44" s="128"/>
      <c r="G44" s="45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>
      <c r="A45" s="12"/>
      <c r="B45" s="45"/>
      <c r="C45" s="45"/>
      <c r="D45" s="45"/>
      <c r="E45" s="138"/>
      <c r="F45" s="128"/>
      <c r="G45" s="45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>
      <c r="A46" s="12"/>
      <c r="B46" s="45"/>
      <c r="C46" s="45"/>
      <c r="D46" s="45"/>
      <c r="E46" s="138"/>
      <c r="F46" s="128"/>
      <c r="G46" s="45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>
      <c r="A47" s="12"/>
      <c r="B47" s="53"/>
      <c r="C47" s="45"/>
      <c r="D47" s="45"/>
      <c r="E47" s="144"/>
      <c r="F47" s="53"/>
      <c r="G47" s="53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>
      <c r="A48" s="12"/>
      <c r="B48" s="53"/>
      <c r="C48" s="45"/>
      <c r="D48" s="45"/>
      <c r="E48" s="144"/>
      <c r="F48" s="53"/>
      <c r="G48" s="53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>
      <c r="A49" s="12"/>
      <c r="B49" s="45"/>
      <c r="C49" s="53"/>
      <c r="D49" s="53"/>
      <c r="E49" s="138"/>
      <c r="F49" s="128"/>
      <c r="G49" s="45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>
      <c r="A50" s="12"/>
      <c r="B50" s="45"/>
      <c r="C50" s="53"/>
      <c r="D50" s="53"/>
      <c r="E50" s="138"/>
      <c r="F50" s="128"/>
      <c r="G50" s="45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>
      <c r="A51" s="12"/>
      <c r="B51" s="45"/>
      <c r="C51" s="45"/>
      <c r="D51" s="45"/>
      <c r="E51" s="138"/>
      <c r="F51" s="128"/>
      <c r="G51" s="45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>
      <c r="A52" s="12"/>
      <c r="B52" s="45"/>
      <c r="C52" s="45"/>
      <c r="D52" s="45"/>
      <c r="E52" s="138"/>
      <c r="F52" s="128"/>
      <c r="G52" s="45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>
      <c r="A53" s="12"/>
      <c r="B53" s="45"/>
      <c r="C53" s="45"/>
      <c r="D53" s="45"/>
      <c r="E53" s="138"/>
      <c r="F53" s="128"/>
      <c r="G53" s="45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>
      <c r="A54" s="12"/>
      <c r="B54" s="45"/>
      <c r="C54" s="45"/>
      <c r="D54" s="45"/>
      <c r="E54" s="138"/>
      <c r="F54" s="128"/>
      <c r="G54" s="45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>
      <c r="A55" s="12"/>
      <c r="B55" s="45"/>
      <c r="C55" s="45"/>
      <c r="D55" s="45"/>
      <c r="E55" s="138"/>
      <c r="F55" s="128"/>
      <c r="G55" s="45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>
      <c r="A56" s="12"/>
      <c r="B56" s="45"/>
      <c r="C56" s="45"/>
      <c r="D56" s="45"/>
      <c r="E56" s="138"/>
      <c r="F56" s="128"/>
      <c r="G56" s="45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>
      <c r="A57" s="12"/>
      <c r="B57" s="45"/>
      <c r="C57" s="45"/>
      <c r="D57" s="45"/>
      <c r="E57" s="138"/>
      <c r="F57" s="128"/>
      <c r="G57" s="45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>
      <c r="A58" s="12"/>
      <c r="B58" s="45"/>
      <c r="C58" s="45"/>
      <c r="D58" s="45"/>
      <c r="E58" s="138"/>
      <c r="F58" s="128"/>
      <c r="G58" s="45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>
      <c r="A59" s="12"/>
      <c r="B59" s="45"/>
      <c r="C59" s="45"/>
      <c r="D59" s="45"/>
      <c r="E59" s="138"/>
      <c r="F59" s="128"/>
      <c r="G59" s="45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>
      <c r="A60" s="12"/>
      <c r="B60" s="45"/>
      <c r="C60" s="45"/>
      <c r="D60" s="45"/>
      <c r="E60" s="138"/>
      <c r="F60" s="128"/>
      <c r="G60" s="45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>
      <c r="A61" s="12"/>
      <c r="B61" s="45"/>
      <c r="C61" s="45"/>
      <c r="D61" s="45"/>
      <c r="E61" s="138"/>
      <c r="F61" s="128"/>
      <c r="G61" s="45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>
      <c r="A62" s="12"/>
      <c r="B62" s="45"/>
      <c r="C62" s="45"/>
      <c r="D62" s="45"/>
      <c r="E62" s="138"/>
      <c r="F62" s="128"/>
      <c r="G62" s="45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>
      <c r="A63" s="12"/>
      <c r="B63" s="45"/>
      <c r="C63" s="45"/>
      <c r="D63" s="45"/>
      <c r="E63" s="138"/>
      <c r="F63" s="128"/>
      <c r="G63" s="45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>
      <c r="A64" s="12"/>
      <c r="B64" s="45"/>
      <c r="C64" s="45"/>
      <c r="D64" s="45"/>
      <c r="E64" s="138"/>
      <c r="F64" s="128"/>
      <c r="G64" s="45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>
      <c r="A65" s="12"/>
      <c r="B65" s="45"/>
      <c r="C65" s="45"/>
      <c r="D65" s="45"/>
      <c r="E65" s="138"/>
      <c r="F65" s="128"/>
      <c r="G65" s="45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>
      <c r="A66" s="12"/>
      <c r="B66" s="45"/>
      <c r="C66" s="45"/>
      <c r="D66" s="45"/>
      <c r="E66" s="138"/>
      <c r="F66" s="128"/>
      <c r="G66" s="45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>
      <c r="B67" s="45"/>
      <c r="C67" s="45"/>
      <c r="D67" s="45"/>
      <c r="E67" s="138"/>
      <c r="F67" s="128"/>
      <c r="G67" s="45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>
      <c r="B68" s="45"/>
      <c r="C68" s="45"/>
      <c r="D68" s="45"/>
      <c r="E68" s="138"/>
      <c r="F68" s="128"/>
      <c r="G68" s="45"/>
    </row>
    <row r="69" spans="1:24">
      <c r="B69" s="45"/>
      <c r="C69" s="45"/>
      <c r="D69" s="45"/>
      <c r="E69" s="138"/>
      <c r="F69" s="128"/>
      <c r="G69" s="45"/>
    </row>
    <row r="70" spans="1:24">
      <c r="B70" s="45"/>
      <c r="C70" s="45"/>
      <c r="D70" s="45"/>
      <c r="E70" s="138"/>
      <c r="F70" s="128"/>
      <c r="G70" s="45"/>
    </row>
    <row r="71" spans="1:24">
      <c r="B71" s="45"/>
      <c r="C71" s="45"/>
      <c r="D71" s="45"/>
      <c r="E71" s="138"/>
      <c r="F71" s="128"/>
      <c r="G71" s="45"/>
    </row>
    <row r="72" spans="1:24">
      <c r="B72" s="45"/>
      <c r="C72" s="45"/>
      <c r="D72" s="45"/>
      <c r="E72" s="138"/>
      <c r="F72" s="128"/>
      <c r="G72" s="45"/>
    </row>
    <row r="73" spans="1:24">
      <c r="B73" s="45"/>
      <c r="C73" s="45"/>
      <c r="D73" s="45"/>
      <c r="E73" s="138"/>
      <c r="F73" s="128"/>
      <c r="G73" s="45"/>
    </row>
    <row r="74" spans="1:24">
      <c r="B74" s="45"/>
      <c r="C74" s="45"/>
      <c r="D74" s="45"/>
      <c r="E74" s="138"/>
      <c r="F74" s="128"/>
      <c r="G74" s="45"/>
    </row>
    <row r="75" spans="1:24">
      <c r="B75" s="45"/>
      <c r="C75" s="45"/>
      <c r="D75" s="45"/>
      <c r="E75" s="138"/>
      <c r="F75" s="128"/>
      <c r="G75" s="45"/>
    </row>
    <row r="76" spans="1:24">
      <c r="C76" s="45"/>
      <c r="D76" s="45"/>
    </row>
    <row r="77" spans="1:24">
      <c r="C77" s="45"/>
      <c r="D77" s="45"/>
    </row>
  </sheetData>
  <mergeCells count="2">
    <mergeCell ref="C2:E2"/>
    <mergeCell ref="C36:D36"/>
  </mergeCells>
  <pageMargins left="0.7" right="0.7" top="0.75" bottom="0.75" header="0.3" footer="0.3"/>
  <pageSetup paperSize="9"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F6E56-1CA9-42A1-9A71-252CA0015D8A}">
  <dimension ref="D4:H12"/>
  <sheetViews>
    <sheetView workbookViewId="0">
      <selection activeCell="D15" sqref="D15"/>
    </sheetView>
  </sheetViews>
  <sheetFormatPr defaultRowHeight="15"/>
  <cols>
    <col min="4" max="4" width="33.42578125" customWidth="1"/>
  </cols>
  <sheetData>
    <row r="4" spans="4:8" ht="45">
      <c r="D4" s="288" t="s">
        <v>191</v>
      </c>
      <c r="H4" s="289" t="s">
        <v>192</v>
      </c>
    </row>
    <row r="8" spans="4:8">
      <c r="D8" s="1">
        <v>10000000</v>
      </c>
    </row>
    <row r="9" spans="4:8">
      <c r="D9" s="287">
        <v>0.12</v>
      </c>
    </row>
    <row r="10" spans="4:8">
      <c r="D10" s="1">
        <v>30000</v>
      </c>
    </row>
    <row r="11" spans="4:8">
      <c r="D11" s="287">
        <v>0.28000000000000003</v>
      </c>
    </row>
    <row r="12" spans="4:8">
      <c r="D12" s="2">
        <f>(D8*(100%-D9)-D10)*(100%+D11)</f>
        <v>11225600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7791C-1AA5-47D2-82DE-BD5F432FD599}">
  <dimension ref="A1:AA73"/>
  <sheetViews>
    <sheetView topLeftCell="A3" zoomScale="85" zoomScaleNormal="85" workbookViewId="0">
      <selection activeCell="D19" sqref="D19"/>
    </sheetView>
  </sheetViews>
  <sheetFormatPr defaultRowHeight="15" outlineLevelRow="1" outlineLevelCol="1"/>
  <cols>
    <col min="1" max="1" width="11" style="54" customWidth="1"/>
    <col min="2" max="2" width="8.42578125" style="54" customWidth="1" outlineLevel="1"/>
    <col min="3" max="3" width="54" style="54" customWidth="1" outlineLevel="1"/>
    <col min="4" max="4" width="35.42578125" customWidth="1" outlineLevel="1"/>
    <col min="5" max="5" width="19.5703125" style="54" customWidth="1" outlineLevel="1"/>
    <col min="6" max="6" width="17.5703125" style="54" customWidth="1" outlineLevel="1"/>
    <col min="7" max="7" width="25.5703125" style="35" customWidth="1"/>
    <col min="8" max="8" width="23.5703125" customWidth="1"/>
    <col min="9" max="9" width="36.42578125" customWidth="1"/>
    <col min="10" max="27" width="23.5703125" customWidth="1"/>
  </cols>
  <sheetData>
    <row r="1" spans="1:27">
      <c r="A1" s="45"/>
      <c r="B1" s="45"/>
      <c r="C1" s="76"/>
      <c r="D1" s="76"/>
      <c r="E1" s="76"/>
      <c r="F1" s="45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51.75" customHeight="1">
      <c r="A2" s="45"/>
      <c r="B2" s="121"/>
      <c r="C2" s="524" t="s">
        <v>98</v>
      </c>
      <c r="D2" s="524"/>
      <c r="E2" s="524"/>
      <c r="F2" s="45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>
      <c r="A3" s="45"/>
      <c r="B3" s="45"/>
      <c r="C3" s="46"/>
      <c r="D3" s="55"/>
      <c r="E3" s="45"/>
      <c r="F3" s="45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>
      <c r="A4" s="45"/>
      <c r="B4" s="45"/>
      <c r="C4" s="46" t="s">
        <v>11</v>
      </c>
      <c r="D4" s="59">
        <v>10000000</v>
      </c>
      <c r="E4" s="45"/>
      <c r="F4" s="45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>
      <c r="A5" s="45"/>
      <c r="B5" s="45"/>
      <c r="C5" s="46" t="s">
        <v>12</v>
      </c>
      <c r="D5" s="78">
        <v>0</v>
      </c>
      <c r="E5" s="45"/>
      <c r="F5" s="45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05" customFormat="1">
      <c r="A6" s="120"/>
      <c r="B6" s="120"/>
      <c r="C6" s="49" t="s">
        <v>13</v>
      </c>
      <c r="D6" s="79">
        <v>0.1</v>
      </c>
      <c r="E6" s="103" t="s">
        <v>72</v>
      </c>
      <c r="F6" s="120"/>
      <c r="G6" s="30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>
      <c r="A7" s="45"/>
      <c r="B7" s="45"/>
      <c r="C7" s="46" t="s">
        <v>43</v>
      </c>
      <c r="D7" s="80">
        <v>0.15</v>
      </c>
      <c r="E7" s="45"/>
      <c r="F7" s="4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>
      <c r="A8" s="45"/>
      <c r="B8" s="45"/>
      <c r="C8" s="46" t="s">
        <v>15</v>
      </c>
      <c r="D8" s="81">
        <v>360</v>
      </c>
      <c r="E8" s="77"/>
      <c r="F8" s="77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>
      <c r="A9" s="45"/>
      <c r="B9" s="46"/>
      <c r="C9" s="46" t="s">
        <v>19</v>
      </c>
      <c r="D9" s="82">
        <v>6.7000000000000004E-2</v>
      </c>
      <c r="E9" s="45"/>
      <c r="F9" s="4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>
      <c r="A10" s="45"/>
      <c r="B10" s="46"/>
      <c r="C10" s="46"/>
      <c r="D10" s="82"/>
      <c r="E10" s="45"/>
      <c r="F10" s="45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>
      <c r="A11" s="45"/>
      <c r="B11" s="46"/>
      <c r="C11" s="46"/>
      <c r="D11" s="82"/>
      <c r="E11" s="45"/>
      <c r="F11" s="45"/>
      <c r="G11" s="1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spans="1:27" ht="36.75" customHeight="1">
      <c r="A12" s="45"/>
      <c r="B12" s="46"/>
      <c r="C12" s="46"/>
      <c r="D12" s="82"/>
      <c r="E12" s="45"/>
      <c r="F12" s="45"/>
      <c r="G12" s="1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1:27">
      <c r="A13" s="45"/>
      <c r="B13" s="46"/>
      <c r="C13" s="46"/>
      <c r="D13" s="82"/>
      <c r="E13" s="45"/>
      <c r="F13" s="45"/>
      <c r="G13" s="1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1:27">
      <c r="A14" s="45"/>
      <c r="B14" s="46"/>
      <c r="C14" s="46"/>
      <c r="D14" s="82"/>
      <c r="E14" s="45"/>
      <c r="F14" s="45"/>
      <c r="G14" s="12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>
      <c r="A15" s="45"/>
      <c r="B15" s="46"/>
      <c r="C15" s="46" t="s">
        <v>51</v>
      </c>
      <c r="D15" s="47">
        <f>D4*(100%-D6)*(100%-D7)</f>
        <v>7650000</v>
      </c>
      <c r="E15" s="47"/>
      <c r="F15" s="47"/>
      <c r="G15" s="1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7">
      <c r="A16" s="45"/>
      <c r="B16" s="46"/>
      <c r="C16" s="46" t="s">
        <v>52</v>
      </c>
      <c r="D16" s="62">
        <f>PMT(D9/12,D8,-D15)</f>
        <v>49363.765320067476</v>
      </c>
      <c r="E16" s="45"/>
      <c r="F16" s="45"/>
      <c r="G16" s="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1:27" ht="15" customHeight="1" outlineLevel="1">
      <c r="A17" s="45"/>
      <c r="B17" s="46"/>
      <c r="C17" s="46" t="s">
        <v>50</v>
      </c>
      <c r="D17" s="47">
        <f>D4*(100%-D6)*D7</f>
        <v>1350000</v>
      </c>
      <c r="E17" s="45"/>
      <c r="F17" s="45"/>
      <c r="G17" s="12"/>
      <c r="H17" s="531" t="s">
        <v>113</v>
      </c>
      <c r="I17" s="553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 outlineLevel="1">
      <c r="A18" s="45"/>
      <c r="B18" s="46"/>
      <c r="C18" s="46" t="s">
        <v>56</v>
      </c>
      <c r="D18" s="64">
        <f>(1-(100%-D7)*D19)</f>
        <v>0.85</v>
      </c>
      <c r="E18" s="45"/>
      <c r="F18" s="45"/>
      <c r="G18" s="12"/>
      <c r="H18" s="553"/>
      <c r="I18" s="553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outlineLevel="1">
      <c r="A19" s="45"/>
      <c r="B19" s="46"/>
      <c r="C19" s="46" t="s">
        <v>32</v>
      </c>
      <c r="D19" s="63">
        <f>D17/D15</f>
        <v>0.17647058823529413</v>
      </c>
      <c r="E19" s="93" t="s">
        <v>65</v>
      </c>
      <c r="F19" s="45"/>
      <c r="G19" s="12"/>
      <c r="H19" s="553"/>
      <c r="I19" s="553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outlineLevel="1">
      <c r="A20" s="45"/>
      <c r="B20" s="46"/>
      <c r="C20" s="46" t="s">
        <v>64</v>
      </c>
      <c r="D20" s="65">
        <f>D17/D18</f>
        <v>1588235.294117647</v>
      </c>
      <c r="E20" s="45"/>
      <c r="F20" s="45"/>
      <c r="G20" s="12"/>
      <c r="H20" s="553"/>
      <c r="I20" s="553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>
      <c r="A21" s="45"/>
      <c r="B21" s="46"/>
      <c r="C21" s="46"/>
      <c r="D21" s="46"/>
      <c r="E21" s="45"/>
      <c r="F21" s="45"/>
      <c r="G21" s="12"/>
      <c r="H21" s="553"/>
      <c r="I21" s="553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>
      <c r="A22" s="45"/>
      <c r="B22" s="46"/>
      <c r="C22" s="49" t="s">
        <v>24</v>
      </c>
      <c r="D22" s="66">
        <f>(D4*(100%-D6)+D20)</f>
        <v>10588235.294117646</v>
      </c>
      <c r="E22" s="45"/>
      <c r="F22" s="45"/>
      <c r="G22" s="12"/>
      <c r="H22" s="553"/>
      <c r="I22" s="553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1:27">
      <c r="A23" s="45"/>
      <c r="B23" s="46"/>
      <c r="C23" s="49" t="s">
        <v>30</v>
      </c>
      <c r="D23" s="67">
        <f>D22*(100%-D7)</f>
        <v>9000000</v>
      </c>
      <c r="E23" s="90"/>
      <c r="F23" s="45"/>
      <c r="G23" s="12"/>
      <c r="H23" s="553"/>
      <c r="I23" s="553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spans="1:27">
      <c r="A24" s="45"/>
      <c r="B24" s="46"/>
      <c r="C24" s="49" t="s">
        <v>45</v>
      </c>
      <c r="D24" s="67">
        <f>D22-D23</f>
        <v>1588235.2941176463</v>
      </c>
      <c r="E24" s="45"/>
      <c r="F24" s="45"/>
      <c r="G24" s="1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27">
      <c r="A25" s="45"/>
      <c r="B25" s="46"/>
      <c r="C25" s="49" t="s">
        <v>46</v>
      </c>
      <c r="D25" s="68">
        <f>D24/D22</f>
        <v>0.14999999999999994</v>
      </c>
      <c r="E25" s="45"/>
      <c r="F25" s="45"/>
      <c r="G25" s="12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1:27">
      <c r="A26" s="45"/>
      <c r="B26" s="46"/>
      <c r="C26" s="49" t="s">
        <v>22</v>
      </c>
      <c r="D26" s="87">
        <f>PMT(D9/12,D8,-D23)</f>
        <v>58075.018023608798</v>
      </c>
      <c r="E26" s="45"/>
      <c r="F26" s="45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1:27">
      <c r="A27" s="45"/>
      <c r="B27" s="46"/>
      <c r="C27" s="49" t="s">
        <v>57</v>
      </c>
      <c r="D27" s="85">
        <f>D22*D7</f>
        <v>1588235.294117647</v>
      </c>
      <c r="E27" s="45"/>
      <c r="F27" s="45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1:27">
      <c r="A28" s="45"/>
      <c r="B28" s="46"/>
      <c r="C28" s="50" t="s">
        <v>49</v>
      </c>
      <c r="D28" s="67">
        <f>IF(D27&gt;5000000,(5000000*13%+(D27-5000000)*15%),D27-D27*13%)</f>
        <v>1381764.7058823528</v>
      </c>
      <c r="E28" s="45"/>
      <c r="F28" s="45"/>
      <c r="G28" s="1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1:27" ht="18" customHeight="1">
      <c r="A29" s="45"/>
      <c r="B29" s="46"/>
      <c r="C29" s="49" t="s">
        <v>25</v>
      </c>
      <c r="D29" s="86" t="str">
        <f>IF(D27=D20,"верно","ошибка")</f>
        <v>верно</v>
      </c>
      <c r="E29" s="45"/>
      <c r="F29" s="45"/>
      <c r="G29" s="1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1:27">
      <c r="A30" s="45"/>
      <c r="B30" s="46"/>
      <c r="C30" s="46"/>
      <c r="D30" s="45"/>
      <c r="E30" s="45"/>
      <c r="F30" s="45"/>
      <c r="G30" s="1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27">
      <c r="A31" s="45"/>
      <c r="B31" s="46"/>
      <c r="C31" s="525" t="s">
        <v>41</v>
      </c>
      <c r="D31" s="525"/>
      <c r="E31" s="45"/>
      <c r="F31" s="45"/>
      <c r="G31" s="1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1:27" ht="28.5" customHeight="1">
      <c r="A32" s="45"/>
      <c r="B32" s="46"/>
      <c r="C32" s="46" t="s">
        <v>42</v>
      </c>
      <c r="D32" s="84">
        <f>D26-D16</f>
        <v>8711.2527035413223</v>
      </c>
      <c r="E32" s="45"/>
      <c r="F32" s="45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1:27">
      <c r="A33" s="45"/>
      <c r="B33" s="46"/>
      <c r="C33" s="46" t="s">
        <v>54</v>
      </c>
      <c r="D33" s="48">
        <f>D28/D32</f>
        <v>158.61837015939557</v>
      </c>
      <c r="E33" s="45"/>
      <c r="F33" s="45"/>
      <c r="G33" s="1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1:27">
      <c r="A34" s="45"/>
      <c r="B34" s="46"/>
      <c r="C34" s="46" t="s">
        <v>55</v>
      </c>
      <c r="D34" s="48">
        <f>D33/12</f>
        <v>13.218197513282965</v>
      </c>
      <c r="E34" s="45"/>
      <c r="F34" s="45"/>
      <c r="G34" s="1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1:27">
      <c r="A35" s="45"/>
      <c r="B35" s="46"/>
      <c r="C35" s="46"/>
      <c r="D35" s="46"/>
      <c r="E35" s="45"/>
      <c r="F35" s="45"/>
      <c r="G35" s="1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1:27" outlineLevel="1">
      <c r="A36" s="45"/>
      <c r="B36" s="46"/>
      <c r="C36" s="46" t="s">
        <v>29</v>
      </c>
      <c r="D36" s="63">
        <f>(D23-D27)/D4-100%</f>
        <v>-0.25882352941176467</v>
      </c>
      <c r="E36" s="45"/>
      <c r="F36" s="45"/>
      <c r="G36" s="1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1:27" outlineLevel="1">
      <c r="A37" s="45"/>
      <c r="B37" s="46"/>
      <c r="C37" s="46" t="s">
        <v>28</v>
      </c>
      <c r="D37" s="65">
        <f>D22-D4</f>
        <v>588235.29411764629</v>
      </c>
      <c r="E37" s="45"/>
      <c r="F37" s="45"/>
      <c r="G37" s="1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27" outlineLevel="1">
      <c r="A38" s="45"/>
      <c r="B38" s="45"/>
      <c r="C38" s="46" t="s">
        <v>31</v>
      </c>
      <c r="D38" s="63">
        <f>D37/D4*(-1)</f>
        <v>-5.8823529411764629E-2</v>
      </c>
      <c r="E38" s="45"/>
      <c r="F38" s="45"/>
      <c r="G38" s="1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spans="1:27" outlineLevel="1">
      <c r="A39" s="45"/>
      <c r="B39" s="45"/>
      <c r="C39" s="46"/>
      <c r="D39" s="63"/>
      <c r="E39" s="45"/>
      <c r="F39" s="45"/>
      <c r="G39" s="1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1:27" ht="27" customHeight="1">
      <c r="A40" s="45"/>
      <c r="B40" s="45"/>
      <c r="C40" s="45"/>
      <c r="D40" s="45"/>
      <c r="E40" s="45"/>
      <c r="F40" s="45"/>
      <c r="G40" s="12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spans="1:27">
      <c r="A41" s="45"/>
      <c r="B41" s="45"/>
      <c r="C41" s="45"/>
      <c r="D41" s="45"/>
      <c r="E41" s="45"/>
      <c r="F41" s="45"/>
      <c r="G41" s="12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1:27">
      <c r="A42" s="45"/>
      <c r="B42" s="45"/>
      <c r="C42" s="45"/>
      <c r="D42" s="45"/>
      <c r="E42" s="45"/>
      <c r="F42" s="45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>
      <c r="A43" s="45"/>
      <c r="B43" s="45"/>
      <c r="C43" s="45"/>
      <c r="D43" s="45"/>
      <c r="E43" s="45"/>
      <c r="F43" s="45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>
      <c r="A44" s="45"/>
      <c r="B44" s="53"/>
      <c r="C44" s="53"/>
      <c r="D44" s="53"/>
      <c r="E44" s="53"/>
      <c r="F44" s="53"/>
      <c r="G44" s="83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>
      <c r="A45" s="45"/>
      <c r="B45" s="53"/>
      <c r="C45" s="53"/>
      <c r="D45" s="53"/>
      <c r="E45" s="53"/>
      <c r="F45" s="53"/>
      <c r="G45" s="83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</row>
    <row r="46" spans="1:27">
      <c r="A46" s="45"/>
      <c r="B46" s="45"/>
      <c r="C46" s="45"/>
      <c r="D46" s="45"/>
      <c r="E46" s="45"/>
      <c r="F46" s="45"/>
      <c r="G46" s="12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</row>
    <row r="47" spans="1:27">
      <c r="A47" s="45"/>
      <c r="B47" s="45"/>
      <c r="C47" s="45"/>
      <c r="D47" s="45"/>
      <c r="E47" s="45"/>
      <c r="F47" s="45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>
      <c r="A48" s="45"/>
      <c r="B48" s="45"/>
      <c r="C48" s="45"/>
      <c r="D48" s="45"/>
      <c r="E48" s="45"/>
      <c r="F48" s="45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>
      <c r="A49" s="45"/>
      <c r="B49" s="45"/>
      <c r="C49" s="45"/>
      <c r="D49" s="45"/>
      <c r="E49" s="45"/>
      <c r="F49" s="45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>
      <c r="A50" s="45"/>
      <c r="B50" s="45"/>
      <c r="C50" s="45"/>
      <c r="D50" s="45"/>
      <c r="E50" s="45"/>
      <c r="F50" s="45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>
      <c r="A51" s="45"/>
      <c r="B51" s="45"/>
      <c r="C51" s="45"/>
      <c r="D51" s="45"/>
      <c r="E51" s="45"/>
      <c r="F51" s="45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>
      <c r="A52" s="45"/>
      <c r="B52" s="45"/>
      <c r="C52" s="45"/>
      <c r="D52" s="45"/>
      <c r="E52" s="45"/>
      <c r="F52" s="45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>
      <c r="A53" s="45"/>
      <c r="B53" s="45"/>
      <c r="C53" s="45"/>
      <c r="D53" s="45"/>
      <c r="E53" s="45"/>
      <c r="F53" s="45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>
      <c r="A54" s="45"/>
      <c r="B54" s="45"/>
      <c r="C54" s="45"/>
      <c r="D54" s="45"/>
      <c r="E54" s="45"/>
      <c r="F54" s="45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>
      <c r="A55" s="45"/>
      <c r="B55" s="45"/>
      <c r="C55" s="45"/>
      <c r="D55" s="45"/>
      <c r="E55" s="45"/>
      <c r="F55" s="45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>
      <c r="A56" s="45"/>
      <c r="B56" s="45"/>
      <c r="C56" s="45"/>
      <c r="D56" s="45"/>
      <c r="E56" s="45"/>
      <c r="F56" s="45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>
      <c r="A57" s="45"/>
      <c r="B57" s="45"/>
      <c r="C57" s="45"/>
      <c r="D57" s="45"/>
      <c r="E57" s="45"/>
      <c r="F57" s="45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>
      <c r="A58" s="45"/>
      <c r="B58" s="45"/>
      <c r="C58" s="45"/>
      <c r="D58" s="45"/>
      <c r="E58" s="45"/>
      <c r="F58" s="45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>
      <c r="A59" s="45"/>
      <c r="B59" s="45"/>
      <c r="C59" s="45"/>
      <c r="D59" s="45"/>
      <c r="E59" s="45"/>
      <c r="F59" s="45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>
      <c r="A60" s="45"/>
      <c r="B60" s="45"/>
      <c r="C60" s="45"/>
      <c r="D60" s="45"/>
      <c r="E60" s="45"/>
      <c r="F60" s="45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>
      <c r="A61" s="45"/>
      <c r="B61" s="45"/>
      <c r="C61" s="45"/>
      <c r="D61" s="45"/>
      <c r="E61" s="45"/>
      <c r="F61" s="45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>
      <c r="A62" s="45"/>
      <c r="B62" s="45"/>
      <c r="C62" s="45"/>
      <c r="D62" s="45"/>
      <c r="E62" s="45"/>
      <c r="F62" s="45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>
      <c r="A63" s="45"/>
      <c r="B63" s="45"/>
      <c r="C63" s="45"/>
      <c r="D63" s="45"/>
      <c r="E63" s="45"/>
      <c r="F63" s="45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>
      <c r="A64" s="45"/>
      <c r="B64" s="45"/>
      <c r="C64" s="45"/>
      <c r="D64" s="45"/>
      <c r="E64" s="45"/>
      <c r="F64" s="45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>
      <c r="A65" s="45"/>
      <c r="B65" s="45"/>
      <c r="C65" s="45"/>
      <c r="D65" s="45"/>
      <c r="E65" s="45"/>
      <c r="F65" s="45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>
      <c r="A66" s="45"/>
      <c r="B66" s="45"/>
      <c r="C66" s="45"/>
      <c r="D66" s="45"/>
      <c r="E66" s="45"/>
      <c r="F66" s="45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>
      <c r="A67" s="45"/>
      <c r="B67" s="45"/>
      <c r="C67" s="45"/>
      <c r="D67" s="45"/>
      <c r="E67" s="45"/>
      <c r="F67" s="45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>
      <c r="A68" s="45"/>
      <c r="B68" s="45"/>
      <c r="C68" s="45"/>
      <c r="D68" s="45"/>
      <c r="E68" s="45"/>
      <c r="F68" s="45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>
      <c r="A69" s="45"/>
      <c r="B69" s="45"/>
      <c r="C69" s="45"/>
      <c r="D69" s="45"/>
      <c r="E69" s="45"/>
      <c r="F69" s="45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>
      <c r="A70" s="45"/>
      <c r="B70" s="45"/>
      <c r="C70" s="45"/>
      <c r="D70" s="45"/>
      <c r="E70" s="45"/>
      <c r="F70" s="45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>
      <c r="A71" s="45"/>
      <c r="B71" s="45"/>
      <c r="C71" s="45"/>
      <c r="D71" s="45"/>
      <c r="E71" s="45"/>
      <c r="F71" s="45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>
      <c r="A72" s="45"/>
      <c r="B72" s="45"/>
      <c r="C72" s="45"/>
      <c r="D72" s="45"/>
      <c r="E72" s="45"/>
      <c r="F72" s="45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</sheetData>
  <mergeCells count="3">
    <mergeCell ref="C31:D31"/>
    <mergeCell ref="C2:E2"/>
    <mergeCell ref="H17:I23"/>
  </mergeCells>
  <pageMargins left="0.7" right="0.7" top="0.75" bottom="0.75" header="0.3" footer="0.3"/>
  <pageSetup paperSize="9" scale="7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76EBD-C18F-48B7-9F70-DDE91CC7AEE5}">
  <dimension ref="A1:AA73"/>
  <sheetViews>
    <sheetView zoomScale="90" zoomScaleNormal="90" workbookViewId="0">
      <selection activeCell="G10" sqref="G10"/>
    </sheetView>
  </sheetViews>
  <sheetFormatPr defaultRowHeight="15" outlineLevelRow="1"/>
  <cols>
    <col min="1" max="1" width="11" customWidth="1"/>
    <col min="2" max="2" width="52" customWidth="1"/>
    <col min="3" max="3" width="25.5703125" customWidth="1"/>
    <col min="4" max="4" width="19.5703125" customWidth="1"/>
    <col min="5" max="5" width="9.42578125" customWidth="1"/>
    <col min="6" max="6" width="1.42578125" customWidth="1"/>
    <col min="7" max="7" width="44" style="35" customWidth="1"/>
    <col min="8" max="8" width="34.42578125" customWidth="1"/>
    <col min="9" max="27" width="23.5703125" customWidth="1"/>
  </cols>
  <sheetData>
    <row r="1" spans="1:27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51.75" customHeight="1">
      <c r="A2" s="12"/>
      <c r="B2" s="555" t="s">
        <v>48</v>
      </c>
      <c r="C2" s="556"/>
      <c r="D2" s="12"/>
      <c r="E2" s="33"/>
      <c r="F2" s="33"/>
      <c r="G2" s="12" t="s">
        <v>100</v>
      </c>
      <c r="H2" s="122" t="s">
        <v>99</v>
      </c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>
      <c r="A3" s="12"/>
      <c r="B3" s="12"/>
      <c r="C3" s="12"/>
      <c r="D3" s="12"/>
      <c r="E3" s="33"/>
      <c r="F3" s="3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>
      <c r="A4" s="12"/>
      <c r="B4" s="12" t="s">
        <v>11</v>
      </c>
      <c r="C4" s="13">
        <v>15000000</v>
      </c>
      <c r="D4" s="12"/>
      <c r="E4" s="33"/>
      <c r="F4" s="33"/>
      <c r="G4" s="36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>
      <c r="A5" s="12"/>
      <c r="B5" s="12" t="s">
        <v>12</v>
      </c>
      <c r="C5" s="5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05" customFormat="1">
      <c r="A6" s="30"/>
      <c r="B6" s="30" t="s">
        <v>13</v>
      </c>
      <c r="C6" s="14">
        <v>0.15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>
      <c r="A7" s="12"/>
      <c r="B7" s="12" t="s">
        <v>43</v>
      </c>
      <c r="C7" s="15">
        <v>0.15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>
      <c r="A8" s="12"/>
      <c r="B8" s="12" t="s">
        <v>15</v>
      </c>
      <c r="C8" s="16">
        <v>360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>
      <c r="A9" s="12"/>
      <c r="B9" s="12" t="s">
        <v>19</v>
      </c>
      <c r="C9" s="14">
        <v>5.0999999999999997E-2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20.2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>
      <c r="A11" s="12"/>
      <c r="B11" s="30" t="s">
        <v>80</v>
      </c>
      <c r="C11" s="99">
        <v>0.03</v>
      </c>
      <c r="D11" s="12"/>
      <c r="E11" s="12"/>
      <c r="F11" s="12"/>
      <c r="G11" s="12"/>
      <c r="H11" s="12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spans="1:27" ht="36.75" customHeight="1">
      <c r="A12" s="12"/>
      <c r="B12" s="44" t="s">
        <v>78</v>
      </c>
      <c r="C12" s="106">
        <v>0.03</v>
      </c>
      <c r="D12" s="12"/>
      <c r="E12" s="12"/>
      <c r="F12" s="12"/>
      <c r="G12" s="12"/>
      <c r="H12" s="12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1:27">
      <c r="A13" s="12"/>
      <c r="B13" s="12" t="s">
        <v>81</v>
      </c>
      <c r="C13" s="22">
        <f>C4*(100%-C6)</f>
        <v>12750000</v>
      </c>
      <c r="D13" s="12"/>
      <c r="E13" s="12"/>
      <c r="F13" s="12"/>
      <c r="G13" s="12"/>
      <c r="H13" s="12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1:27">
      <c r="A14" s="12"/>
      <c r="B14" s="12" t="s">
        <v>82</v>
      </c>
      <c r="C14" s="22">
        <f>C4*(100%-C6)*(100%-C11)*(100%-C12)</f>
        <v>11996475</v>
      </c>
      <c r="D14" s="12"/>
      <c r="E14" s="12"/>
      <c r="F14" s="12"/>
      <c r="G14" s="12"/>
      <c r="H14" s="12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>
      <c r="A15" s="12"/>
      <c r="B15" s="12"/>
      <c r="C15" s="22"/>
      <c r="D15" s="12"/>
      <c r="E15" s="12"/>
      <c r="F15" s="12"/>
      <c r="G15" s="12"/>
      <c r="H15" s="12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7">
      <c r="A16" s="12"/>
      <c r="B16" s="12"/>
      <c r="C16" s="27"/>
      <c r="D16" s="12"/>
      <c r="E16" s="12"/>
      <c r="F16" s="12"/>
      <c r="G16" s="12"/>
      <c r="H16" s="12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1:27" outlineLevel="1">
      <c r="A17" s="12"/>
      <c r="B17" s="12"/>
      <c r="C17" s="27"/>
      <c r="D17" s="12"/>
      <c r="E17" s="12"/>
      <c r="F17" s="12"/>
      <c r="G17" s="12"/>
      <c r="H17" s="12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 outlineLevel="1">
      <c r="A18" s="12"/>
      <c r="B18" s="12"/>
      <c r="C18" s="20"/>
      <c r="D18" s="12"/>
      <c r="E18" s="12"/>
      <c r="F18" s="12"/>
      <c r="G18" s="12"/>
      <c r="H18" s="12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outlineLevel="1">
      <c r="A19" s="12"/>
      <c r="B19" s="12" t="s">
        <v>62</v>
      </c>
      <c r="C19" s="20">
        <v>0.27361760000000002</v>
      </c>
      <c r="D19" s="12"/>
      <c r="E19" s="12"/>
      <c r="F19" s="12"/>
      <c r="G19" s="12"/>
      <c r="H19" s="12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outlineLevel="1">
      <c r="A20" s="12"/>
      <c r="B20" s="12" t="s">
        <v>63</v>
      </c>
      <c r="C20" s="27">
        <f>C19*(C4*(100%-C6))</f>
        <v>3488624.4000000004</v>
      </c>
      <c r="D20" s="12"/>
      <c r="E20" s="12"/>
      <c r="F20" s="12"/>
      <c r="G20" s="12"/>
      <c r="H20" s="12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>
      <c r="A21" s="12"/>
      <c r="B21" s="12"/>
      <c r="C21" s="12"/>
      <c r="D21" s="12"/>
      <c r="E21" s="12"/>
      <c r="F21" s="12"/>
      <c r="G21" s="12"/>
      <c r="H21" s="12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>
      <c r="A22" s="12"/>
      <c r="B22" s="30" t="s">
        <v>58</v>
      </c>
      <c r="C22" s="51">
        <f>(C4*(100%-C6)+C20)</f>
        <v>16238624.4</v>
      </c>
      <c r="D22" s="12"/>
      <c r="E22" s="12"/>
      <c r="F22" s="12"/>
      <c r="G22" s="12"/>
      <c r="H22" s="12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1:27">
      <c r="A23" s="12"/>
      <c r="B23" s="30" t="s">
        <v>30</v>
      </c>
      <c r="C23" s="27">
        <f>C22*(100%-C7)</f>
        <v>13802830.74</v>
      </c>
      <c r="D23" s="12"/>
      <c r="E23" s="12"/>
      <c r="F23" s="12"/>
      <c r="G23" s="12"/>
      <c r="H23" s="12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spans="1:27">
      <c r="A24" s="12"/>
      <c r="B24" s="30" t="s">
        <v>45</v>
      </c>
      <c r="C24" s="27">
        <f>C22-C23</f>
        <v>2435793.66</v>
      </c>
      <c r="D24" s="12"/>
      <c r="E24" s="12"/>
      <c r="F24" s="12"/>
      <c r="G24" s="12"/>
      <c r="H24" s="12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27">
      <c r="A25" s="12"/>
      <c r="B25" s="30" t="s">
        <v>46</v>
      </c>
      <c r="C25" s="20">
        <f>C24/C22</f>
        <v>0.15</v>
      </c>
      <c r="D25" s="12"/>
      <c r="E25" s="12"/>
      <c r="F25" s="12"/>
      <c r="G25" s="12"/>
      <c r="H25" s="12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1:27">
      <c r="A26" s="12"/>
      <c r="B26" s="30" t="s">
        <v>22</v>
      </c>
      <c r="C26" s="27">
        <f>PMT(C9/12,C8,-C23)</f>
        <v>74942.438225672129</v>
      </c>
      <c r="D26" s="12"/>
      <c r="E26" s="12"/>
      <c r="F26" s="12"/>
      <c r="G26" s="12"/>
      <c r="H26" s="12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1:27">
      <c r="A27" s="12"/>
      <c r="B27" s="30" t="s">
        <v>40</v>
      </c>
      <c r="C27" s="85">
        <f>C22*C7</f>
        <v>2435793.66</v>
      </c>
      <c r="D27" s="12"/>
      <c r="E27" s="12"/>
      <c r="F27" s="12"/>
      <c r="G27" s="12"/>
      <c r="H27" s="12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1:27">
      <c r="A28" s="12"/>
      <c r="B28" s="44"/>
      <c r="C28" s="27"/>
      <c r="D28" s="12"/>
      <c r="E28" s="12"/>
      <c r="F28" s="12"/>
      <c r="G28" s="12"/>
      <c r="H28" s="12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1:27" ht="18" customHeight="1">
      <c r="A29" s="12"/>
      <c r="B29" s="30"/>
      <c r="C29" s="89"/>
      <c r="D29" s="12"/>
      <c r="E29" s="12"/>
      <c r="F29" s="12"/>
      <c r="G29" s="12"/>
      <c r="H29" s="12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1:27">
      <c r="A30" s="12"/>
      <c r="B30" s="12"/>
      <c r="C30" s="12"/>
      <c r="D30" s="12"/>
      <c r="E30" s="12"/>
      <c r="F30" s="12"/>
      <c r="G30" s="12"/>
      <c r="H30" s="12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27">
      <c r="A31" s="12"/>
      <c r="B31" s="554" t="s">
        <v>74</v>
      </c>
      <c r="C31" s="554"/>
      <c r="D31" s="12"/>
      <c r="E31" s="12"/>
      <c r="F31" s="12"/>
      <c r="G31" s="12"/>
      <c r="H31" s="12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1:27" ht="28.5" customHeight="1">
      <c r="A32" s="12"/>
      <c r="B32" s="28" t="s">
        <v>79</v>
      </c>
      <c r="C32" s="95">
        <f>C4*(100%-C6)*(C11+C12)</f>
        <v>765000</v>
      </c>
      <c r="D32" s="12"/>
      <c r="E32" s="12"/>
      <c r="F32" s="12"/>
      <c r="G32" s="12"/>
      <c r="H32" s="12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1:27">
      <c r="A33" s="12"/>
      <c r="B33" s="12" t="s">
        <v>59</v>
      </c>
      <c r="C33" s="32">
        <f>C20-C27</f>
        <v>1052830.7400000002</v>
      </c>
      <c r="D33" s="12"/>
      <c r="E33" s="19"/>
      <c r="F33" s="33"/>
      <c r="G33" s="41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1:27">
      <c r="A34" s="12"/>
      <c r="B34" s="12" t="s">
        <v>60</v>
      </c>
      <c r="C34" s="146">
        <f>C27*12%</f>
        <v>292295.23920000001</v>
      </c>
      <c r="D34" s="12"/>
      <c r="E34" s="19"/>
      <c r="F34" s="33"/>
      <c r="G34" s="41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1:27">
      <c r="A35" s="12"/>
      <c r="B35" s="91" t="s">
        <v>61</v>
      </c>
      <c r="C35" s="92">
        <f>SUM(C32:C34)</f>
        <v>2110125.9792000004</v>
      </c>
      <c r="D35" s="12"/>
      <c r="E35" s="19"/>
      <c r="F35" s="33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1:27" outlineLevel="1">
      <c r="A36" s="12"/>
      <c r="B36" s="12"/>
      <c r="C36" s="32"/>
      <c r="D36" s="12"/>
      <c r="E36" s="19"/>
      <c r="F36" s="33"/>
      <c r="G36" s="38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1:27" outlineLevel="1">
      <c r="A37" s="12"/>
      <c r="B37" s="12" t="s">
        <v>67</v>
      </c>
      <c r="C37" s="32">
        <f>(C22-C14)*20%</f>
        <v>848429.88000000012</v>
      </c>
      <c r="D37" s="12"/>
      <c r="E37" s="19"/>
      <c r="F37" s="33"/>
      <c r="G37" s="40"/>
      <c r="H37" s="97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27" outlineLevel="1">
      <c r="A38" s="12"/>
      <c r="B38" s="12" t="s">
        <v>69</v>
      </c>
      <c r="C38" s="32">
        <f>C41+C40+C22-C27-C14-C42</f>
        <v>1634608.5181000009</v>
      </c>
      <c r="D38" s="12"/>
      <c r="E38" s="19"/>
      <c r="F38" s="33"/>
      <c r="G38" s="38"/>
      <c r="H38" s="32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spans="1:27" outlineLevel="1">
      <c r="A39" s="12"/>
      <c r="B39" s="12" t="s">
        <v>66</v>
      </c>
      <c r="C39" s="32">
        <f>C38*20%</f>
        <v>326921.70362000022</v>
      </c>
      <c r="D39" s="12"/>
      <c r="E39" s="19"/>
      <c r="F39" s="33"/>
      <c r="G39" s="38"/>
      <c r="H39" s="96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1:27" ht="27" customHeight="1">
      <c r="A40" s="12"/>
      <c r="B40" s="28" t="s">
        <v>71</v>
      </c>
      <c r="C40" s="95">
        <f>C27*3.5%</f>
        <v>85252.77810000001</v>
      </c>
      <c r="D40" s="12"/>
      <c r="E40" s="19"/>
      <c r="F40" s="33"/>
      <c r="G40" s="19"/>
      <c r="H40" s="12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spans="1:27">
      <c r="A41" s="12"/>
      <c r="B41" s="12" t="s">
        <v>70</v>
      </c>
      <c r="C41" s="32">
        <v>100000</v>
      </c>
      <c r="D41" s="12"/>
      <c r="E41" s="19"/>
      <c r="F41" s="33"/>
      <c r="G41" s="19"/>
      <c r="H41" s="12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1:27" ht="22.5">
      <c r="A42" s="12"/>
      <c r="B42" s="28" t="s">
        <v>83</v>
      </c>
      <c r="C42" s="32">
        <f>C13*(C12-0.2%)</f>
        <v>356999.99999999994</v>
      </c>
      <c r="D42" s="12"/>
      <c r="E42" s="19"/>
      <c r="F42" s="33"/>
      <c r="G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>
      <c r="A43" s="12"/>
      <c r="B43" s="12"/>
      <c r="C43" s="32"/>
      <c r="D43" s="12"/>
      <c r="E43" s="33"/>
      <c r="F43" s="33"/>
      <c r="G43" s="19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>
      <c r="A44" s="12"/>
      <c r="B44" s="12" t="s">
        <v>68</v>
      </c>
      <c r="C44" s="32">
        <f>C35-C37-C39-(SUM(C40:C42))</f>
        <v>392521.61748000002</v>
      </c>
      <c r="D44" s="31"/>
      <c r="E44" s="31"/>
      <c r="F44" s="31"/>
      <c r="G44" s="42"/>
      <c r="H44" s="29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>
      <c r="A45" s="12"/>
      <c r="B45" s="12"/>
      <c r="C45" s="12"/>
      <c r="D45" s="31"/>
      <c r="E45" s="31"/>
      <c r="F45" s="12"/>
      <c r="G45" s="1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</row>
    <row r="46" spans="1:27">
      <c r="A46" s="12"/>
      <c r="B46" s="28"/>
      <c r="C46" s="94"/>
      <c r="D46" s="12"/>
      <c r="E46" s="12"/>
      <c r="F46" s="12"/>
      <c r="G46" s="19"/>
      <c r="H46" s="12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</row>
    <row r="47" spans="1:27">
      <c r="A47" s="12"/>
      <c r="B47" s="554" t="s">
        <v>76</v>
      </c>
      <c r="C47" s="554"/>
      <c r="D47" s="12"/>
      <c r="E47" s="12"/>
      <c r="F47" s="12"/>
      <c r="G47" s="19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>
      <c r="A48" s="12"/>
      <c r="B48" s="12"/>
      <c r="C48" s="3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>
      <c r="A49" s="12"/>
      <c r="B49" s="12" t="s">
        <v>75</v>
      </c>
      <c r="C49" s="32">
        <v>200000000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>
      <c r="A50" s="12"/>
      <c r="B50" s="12" t="s">
        <v>77</v>
      </c>
      <c r="C50" s="107">
        <f>C49/C35</f>
        <v>94.781070879865112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>
      <c r="A52" s="12"/>
      <c r="B52" s="12"/>
      <c r="C52" s="108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>
      <c r="A53" s="12"/>
      <c r="B53" s="12"/>
      <c r="C53" s="107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</sheetData>
  <mergeCells count="3">
    <mergeCell ref="B47:C47"/>
    <mergeCell ref="B2:C2"/>
    <mergeCell ref="B31:C31"/>
  </mergeCells>
  <hyperlinks>
    <hyperlink ref="H2" r:id="rId1" xr:uid="{87AEB5C5-E6CB-4B2C-9A3F-27847C8C132C}"/>
  </hyperlinks>
  <pageMargins left="0.7" right="0.7" top="0.75" bottom="0.75" header="0.3" footer="0.3"/>
  <pageSetup paperSize="9" scale="76" orientation="portrait" r:id="rId2"/>
  <colBreaks count="1" manualBreakCount="1">
    <brk id="7" max="1048575" man="1"/>
  </colBreaks>
  <drawing r:id="rId3"/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F05F2-6373-4152-9FDE-F9696BEF722B}">
  <dimension ref="A1:AY73"/>
  <sheetViews>
    <sheetView topLeftCell="T4" zoomScale="85" zoomScaleNormal="85" workbookViewId="0">
      <selection activeCell="W11" sqref="W11"/>
    </sheetView>
  </sheetViews>
  <sheetFormatPr defaultRowHeight="15" outlineLevelRow="1" outlineLevelCol="1"/>
  <cols>
    <col min="1" max="1" width="11" customWidth="1"/>
    <col min="2" max="2" width="52" customWidth="1"/>
    <col min="3" max="3" width="25.5703125" customWidth="1"/>
    <col min="4" max="4" width="19.5703125" customWidth="1"/>
    <col min="5" max="5" width="9.42578125" customWidth="1"/>
    <col min="6" max="6" width="52.5703125" customWidth="1"/>
    <col min="7" max="7" width="18.42578125" style="35" customWidth="1"/>
    <col min="8" max="8" width="20.5703125" customWidth="1"/>
    <col min="9" max="9" width="8.42578125" style="74" customWidth="1" outlineLevel="1"/>
    <col min="10" max="10" width="54" style="54" customWidth="1" outlineLevel="1"/>
    <col min="11" max="11" width="35.42578125" customWidth="1" outlineLevel="1"/>
    <col min="12" max="12" width="19.5703125" style="54" customWidth="1" outlineLevel="1"/>
    <col min="13" max="13" width="11.42578125" style="75" customWidth="1" outlineLevel="1"/>
    <col min="14" max="14" width="25.5703125" style="35" customWidth="1"/>
    <col min="15" max="15" width="8.42578125" style="74" customWidth="1"/>
    <col min="16" max="16" width="54" style="54" customWidth="1"/>
    <col min="17" max="17" width="35.42578125" customWidth="1"/>
    <col min="18" max="18" width="19.5703125" style="54" customWidth="1"/>
    <col min="19" max="19" width="7.5703125" style="75" customWidth="1"/>
    <col min="20" max="20" width="45" customWidth="1"/>
    <col min="21" max="21" width="5.42578125" customWidth="1"/>
    <col min="22" max="22" width="52" customWidth="1"/>
    <col min="23" max="23" width="25.5703125" customWidth="1"/>
    <col min="24" max="24" width="19.5703125" bestFit="1" customWidth="1"/>
    <col min="26" max="26" width="1.42578125" customWidth="1"/>
    <col min="27" max="27" width="18.42578125" style="35" customWidth="1"/>
    <col min="28" max="51" width="23.5703125" customWidth="1"/>
  </cols>
  <sheetData>
    <row r="1" spans="1:51">
      <c r="A1" s="12"/>
      <c r="B1" s="12"/>
      <c r="C1" s="12"/>
      <c r="D1" s="12"/>
      <c r="E1" s="12"/>
      <c r="F1" s="12"/>
      <c r="G1" s="12"/>
      <c r="H1" s="12"/>
      <c r="I1" s="72"/>
      <c r="J1" s="56"/>
      <c r="K1" s="56"/>
      <c r="L1" s="76"/>
      <c r="M1" s="58"/>
      <c r="N1" s="12"/>
      <c r="O1" s="72"/>
      <c r="P1" s="56"/>
      <c r="Q1" s="56"/>
      <c r="R1" s="76"/>
      <c r="S1" s="58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</row>
    <row r="2" spans="1:51" ht="51.75" customHeight="1">
      <c r="A2" s="12"/>
      <c r="B2" s="555" t="s">
        <v>48</v>
      </c>
      <c r="C2" s="555"/>
      <c r="D2" s="12"/>
      <c r="E2" s="33"/>
      <c r="F2" s="33"/>
      <c r="G2" s="12"/>
      <c r="H2" s="28"/>
      <c r="I2" s="73"/>
      <c r="J2" s="524" t="s">
        <v>98</v>
      </c>
      <c r="K2" s="524"/>
      <c r="L2" s="524"/>
      <c r="M2" s="58"/>
      <c r="N2" s="28"/>
      <c r="O2" s="73"/>
      <c r="P2" s="524" t="s">
        <v>84</v>
      </c>
      <c r="Q2" s="524"/>
      <c r="R2" s="524"/>
      <c r="S2" s="58"/>
      <c r="T2" s="28"/>
      <c r="U2" s="12"/>
      <c r="V2" s="559" t="s">
        <v>85</v>
      </c>
      <c r="W2" s="559"/>
      <c r="X2" s="12"/>
      <c r="Y2" s="33"/>
      <c r="Z2" s="33" t="s">
        <v>86</v>
      </c>
      <c r="AA2" s="12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</row>
    <row r="3" spans="1:51">
      <c r="A3" s="12"/>
      <c r="B3" s="12"/>
      <c r="C3" s="12"/>
      <c r="D3" s="12"/>
      <c r="E3" s="33"/>
      <c r="F3" s="12"/>
      <c r="G3" s="12"/>
      <c r="H3" s="12"/>
      <c r="I3" s="69"/>
      <c r="J3" s="46"/>
      <c r="K3" s="55"/>
      <c r="L3" s="45"/>
      <c r="M3" s="58"/>
      <c r="N3" s="12"/>
      <c r="O3" s="69"/>
      <c r="P3" s="46"/>
      <c r="Q3" s="55"/>
      <c r="R3" s="45"/>
      <c r="S3" s="58"/>
      <c r="T3" s="12"/>
      <c r="U3" s="12"/>
      <c r="V3" s="12"/>
      <c r="W3" s="12"/>
      <c r="X3" s="12"/>
      <c r="Y3" s="33"/>
      <c r="Z3" s="33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</row>
    <row r="4" spans="1:51">
      <c r="A4" s="12"/>
      <c r="B4" s="12" t="s">
        <v>11</v>
      </c>
      <c r="C4" s="13">
        <v>15000000</v>
      </c>
      <c r="D4" s="12"/>
      <c r="E4" s="33"/>
      <c r="F4" s="12" t="s">
        <v>11</v>
      </c>
      <c r="G4" s="13">
        <f>C4</f>
        <v>15000000</v>
      </c>
      <c r="H4" s="12"/>
      <c r="I4" s="69"/>
      <c r="J4" s="46" t="s">
        <v>11</v>
      </c>
      <c r="K4" s="59">
        <f>C4</f>
        <v>15000000</v>
      </c>
      <c r="L4" s="45"/>
      <c r="M4" s="58"/>
      <c r="N4" s="12"/>
      <c r="O4" s="69"/>
      <c r="P4" s="46" t="s">
        <v>11</v>
      </c>
      <c r="Q4" s="59">
        <f>C4</f>
        <v>15000000</v>
      </c>
      <c r="R4" s="45"/>
      <c r="S4" s="58"/>
      <c r="T4" s="12"/>
      <c r="U4" s="12"/>
      <c r="V4" s="12" t="s">
        <v>11</v>
      </c>
      <c r="W4" s="13">
        <v>13109580</v>
      </c>
      <c r="X4" s="12"/>
      <c r="Y4" s="33"/>
      <c r="Z4" s="33" t="s">
        <v>11</v>
      </c>
      <c r="AA4" s="36">
        <f>W4</f>
        <v>13109580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</row>
    <row r="5" spans="1:51">
      <c r="A5" s="12"/>
      <c r="B5" s="12" t="s">
        <v>12</v>
      </c>
      <c r="C5" s="52"/>
      <c r="D5" s="12" t="s">
        <v>47</v>
      </c>
      <c r="E5" s="33"/>
      <c r="F5" s="12" t="s">
        <v>12</v>
      </c>
      <c r="G5" s="52"/>
      <c r="H5" s="12"/>
      <c r="I5" s="69"/>
      <c r="J5" s="46" t="s">
        <v>12</v>
      </c>
      <c r="K5" s="78">
        <f>$C$5</f>
        <v>0</v>
      </c>
      <c r="L5" s="45"/>
      <c r="M5" s="58"/>
      <c r="N5" s="12"/>
      <c r="O5" s="69"/>
      <c r="P5" s="46" t="s">
        <v>12</v>
      </c>
      <c r="Q5" s="78">
        <f>C5</f>
        <v>0</v>
      </c>
      <c r="R5" s="45"/>
      <c r="S5" s="58"/>
      <c r="T5" s="12"/>
      <c r="U5" s="12"/>
      <c r="V5" s="12" t="s">
        <v>12</v>
      </c>
      <c r="W5" s="52"/>
      <c r="X5" s="12" t="s">
        <v>47</v>
      </c>
      <c r="Y5" s="33"/>
      <c r="Z5" s="33" t="s">
        <v>12</v>
      </c>
      <c r="AA5" s="19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05" customFormat="1" ht="31.5">
      <c r="A6" s="30"/>
      <c r="B6" s="30" t="s">
        <v>13</v>
      </c>
      <c r="C6" s="14">
        <v>0.15</v>
      </c>
      <c r="D6" s="30"/>
      <c r="E6" s="101"/>
      <c r="F6" s="30" t="s">
        <v>13</v>
      </c>
      <c r="G6" s="14">
        <f>C6</f>
        <v>0.15</v>
      </c>
      <c r="H6" s="100" t="s">
        <v>73</v>
      </c>
      <c r="I6" s="102"/>
      <c r="J6" s="49" t="s">
        <v>13</v>
      </c>
      <c r="K6" s="79">
        <f>$C$6</f>
        <v>0.15</v>
      </c>
      <c r="L6" s="103" t="s">
        <v>72</v>
      </c>
      <c r="M6" s="104"/>
      <c r="N6" s="30"/>
      <c r="O6" s="102"/>
      <c r="P6" s="49" t="s">
        <v>13</v>
      </c>
      <c r="Q6" s="79">
        <f>$C$6</f>
        <v>0.15</v>
      </c>
      <c r="R6" s="103" t="s">
        <v>72</v>
      </c>
      <c r="S6" s="104"/>
      <c r="T6" s="30"/>
      <c r="U6" s="12"/>
      <c r="V6" s="12" t="s">
        <v>13</v>
      </c>
      <c r="W6" s="14">
        <v>0</v>
      </c>
      <c r="X6" s="12"/>
      <c r="Y6" s="33"/>
      <c r="Z6" s="33" t="s">
        <v>13</v>
      </c>
      <c r="AA6" s="111">
        <f>W6</f>
        <v>0</v>
      </c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1:51">
      <c r="A7" s="12"/>
      <c r="B7" s="12" t="s">
        <v>43</v>
      </c>
      <c r="C7" s="15">
        <v>0.15</v>
      </c>
      <c r="D7" s="557" t="s">
        <v>44</v>
      </c>
      <c r="E7" s="557"/>
      <c r="F7" s="557"/>
      <c r="G7" s="13">
        <v>1500000</v>
      </c>
      <c r="H7" s="12"/>
      <c r="I7" s="69"/>
      <c r="J7" s="46" t="s">
        <v>43</v>
      </c>
      <c r="K7" s="80">
        <f>$C$7</f>
        <v>0.15</v>
      </c>
      <c r="L7" s="45"/>
      <c r="M7" s="58"/>
      <c r="N7" s="12"/>
      <c r="O7" s="69"/>
      <c r="P7" s="46" t="s">
        <v>43</v>
      </c>
      <c r="Q7" s="80">
        <f>$C$7</f>
        <v>0.15</v>
      </c>
      <c r="R7" s="45"/>
      <c r="S7" s="58"/>
      <c r="T7" s="12"/>
      <c r="U7" s="12"/>
      <c r="V7" s="12" t="s">
        <v>43</v>
      </c>
      <c r="W7" s="15">
        <v>0.15</v>
      </c>
      <c r="X7" s="557" t="s">
        <v>44</v>
      </c>
      <c r="Y7" s="558"/>
      <c r="Z7" s="33"/>
      <c r="AA7" s="34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</row>
    <row r="8" spans="1:51">
      <c r="A8" s="12"/>
      <c r="B8" s="12" t="s">
        <v>15</v>
      </c>
      <c r="C8" s="16">
        <v>360</v>
      </c>
      <c r="D8" s="12"/>
      <c r="E8" s="33"/>
      <c r="F8" s="12" t="s">
        <v>15</v>
      </c>
      <c r="G8" s="16">
        <f>C8</f>
        <v>360</v>
      </c>
      <c r="H8" s="12"/>
      <c r="I8" s="69"/>
      <c r="J8" s="46" t="s">
        <v>15</v>
      </c>
      <c r="K8" s="81">
        <f>$C$8</f>
        <v>360</v>
      </c>
      <c r="L8" s="77"/>
      <c r="M8" s="60"/>
      <c r="N8" s="12"/>
      <c r="O8" s="69"/>
      <c r="P8" s="46" t="s">
        <v>15</v>
      </c>
      <c r="Q8" s="81">
        <f>$C$8</f>
        <v>360</v>
      </c>
      <c r="R8" s="77"/>
      <c r="S8" s="60"/>
      <c r="T8" s="12"/>
      <c r="U8" s="12"/>
      <c r="V8" s="12" t="s">
        <v>15</v>
      </c>
      <c r="W8" s="16">
        <v>360</v>
      </c>
      <c r="X8" s="12"/>
      <c r="Y8" s="33"/>
      <c r="Z8" s="33" t="s">
        <v>15</v>
      </c>
      <c r="AA8" s="37">
        <f>W8</f>
        <v>360</v>
      </c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>
      <c r="A9" s="12"/>
      <c r="B9" s="12" t="s">
        <v>19</v>
      </c>
      <c r="C9" s="14">
        <v>6.7000000000000004E-2</v>
      </c>
      <c r="D9" s="12"/>
      <c r="E9" s="19"/>
      <c r="F9" s="12" t="s">
        <v>19</v>
      </c>
      <c r="G9" s="14">
        <f>C9</f>
        <v>6.7000000000000004E-2</v>
      </c>
      <c r="H9" s="19"/>
      <c r="I9" s="57"/>
      <c r="J9" s="46" t="s">
        <v>19</v>
      </c>
      <c r="K9" s="82">
        <f>$C$9</f>
        <v>6.7000000000000004E-2</v>
      </c>
      <c r="L9" s="45"/>
      <c r="M9" s="58"/>
      <c r="N9" s="12"/>
      <c r="O9" s="57"/>
      <c r="P9" s="46" t="s">
        <v>19</v>
      </c>
      <c r="Q9" s="82">
        <f>$C$9</f>
        <v>6.7000000000000004E-2</v>
      </c>
      <c r="R9" s="45"/>
      <c r="S9" s="58"/>
      <c r="T9" s="12"/>
      <c r="U9" s="12"/>
      <c r="V9" s="12" t="s">
        <v>16</v>
      </c>
      <c r="W9" s="17">
        <v>0</v>
      </c>
      <c r="X9" s="12"/>
      <c r="Y9" s="33"/>
      <c r="Z9" s="33" t="s">
        <v>16</v>
      </c>
      <c r="AA9" s="37">
        <f>W9</f>
        <v>0</v>
      </c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</row>
    <row r="10" spans="1:51">
      <c r="A10" s="12"/>
      <c r="B10" s="12"/>
      <c r="C10" s="12"/>
      <c r="D10" s="12"/>
      <c r="E10" s="19"/>
      <c r="F10" s="12"/>
      <c r="G10" s="33"/>
      <c r="H10" s="19"/>
      <c r="I10" s="57"/>
      <c r="J10" s="46"/>
      <c r="K10" s="82"/>
      <c r="L10" s="45"/>
      <c r="M10" s="58"/>
      <c r="N10" s="12"/>
      <c r="O10" s="57"/>
      <c r="P10" s="46"/>
      <c r="Q10" s="82"/>
      <c r="R10" s="45"/>
      <c r="S10" s="58"/>
      <c r="T10" s="12"/>
      <c r="U10" s="12"/>
      <c r="V10" s="12" t="s">
        <v>17</v>
      </c>
      <c r="W10" s="18" t="s">
        <v>18</v>
      </c>
      <c r="X10" s="12"/>
      <c r="Y10" s="33"/>
      <c r="Z10" s="33" t="s">
        <v>17</v>
      </c>
      <c r="AA10" s="37" t="str">
        <f>W10</f>
        <v>Нет</v>
      </c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>
      <c r="A11" s="12"/>
      <c r="B11" s="30" t="s">
        <v>80</v>
      </c>
      <c r="C11" s="99">
        <v>0.03</v>
      </c>
      <c r="D11" s="12"/>
      <c r="E11" s="19"/>
      <c r="F11" s="30" t="s">
        <v>80</v>
      </c>
      <c r="G11" s="99">
        <v>0.03</v>
      </c>
      <c r="H11" s="98"/>
      <c r="I11" s="57"/>
      <c r="J11" s="46"/>
      <c r="K11" s="82"/>
      <c r="L11" s="45"/>
      <c r="M11" s="58"/>
      <c r="N11" s="12"/>
      <c r="O11" s="57"/>
      <c r="P11" s="46"/>
      <c r="Q11" s="82"/>
      <c r="R11" s="45"/>
      <c r="S11" s="58"/>
      <c r="T11" s="12"/>
      <c r="U11" s="12"/>
      <c r="V11" s="12" t="s">
        <v>19</v>
      </c>
      <c r="W11" s="14">
        <v>7.6999999999999999E-2</v>
      </c>
      <c r="X11" s="12"/>
      <c r="Y11" s="19"/>
      <c r="Z11" s="33" t="s">
        <v>19</v>
      </c>
      <c r="AA11" s="38">
        <f>W11</f>
        <v>7.6999999999999999E-2</v>
      </c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2" spans="1:51" ht="36.75" customHeight="1">
      <c r="A12" s="12"/>
      <c r="B12" s="44" t="s">
        <v>78</v>
      </c>
      <c r="C12" s="106">
        <v>0.03</v>
      </c>
      <c r="D12" s="12"/>
      <c r="E12" s="19"/>
      <c r="F12" s="44" t="s">
        <v>78</v>
      </c>
      <c r="G12" s="106">
        <v>0.03</v>
      </c>
      <c r="H12" s="100"/>
      <c r="I12" s="57"/>
      <c r="J12" s="46"/>
      <c r="K12" s="82"/>
      <c r="L12" s="45"/>
      <c r="M12" s="58"/>
      <c r="N12" s="12"/>
      <c r="O12" s="57"/>
      <c r="P12" s="46"/>
      <c r="Q12" s="82"/>
      <c r="R12" s="45"/>
      <c r="S12" s="58"/>
      <c r="T12" s="12"/>
      <c r="U12" s="12"/>
      <c r="V12" s="12" t="s">
        <v>87</v>
      </c>
      <c r="W12" s="52">
        <v>12</v>
      </c>
      <c r="X12" s="12"/>
      <c r="Y12" s="19"/>
      <c r="Z12" s="33" t="s">
        <v>87</v>
      </c>
      <c r="AA12" s="37">
        <f>W12</f>
        <v>12</v>
      </c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</row>
    <row r="13" spans="1:51">
      <c r="A13" s="12"/>
      <c r="B13" s="12" t="s">
        <v>81</v>
      </c>
      <c r="C13" s="22">
        <f>C4*(100%-C6)</f>
        <v>12750000</v>
      </c>
      <c r="D13" s="12"/>
      <c r="E13" s="19"/>
      <c r="F13" s="12" t="s">
        <v>81</v>
      </c>
      <c r="G13" s="22">
        <f>G4*(100%-G6)</f>
        <v>12750000</v>
      </c>
      <c r="H13" s="19"/>
      <c r="I13" s="57"/>
      <c r="J13" s="46"/>
      <c r="K13" s="82"/>
      <c r="L13" s="45"/>
      <c r="M13" s="58"/>
      <c r="N13" s="12"/>
      <c r="O13" s="57"/>
      <c r="P13" s="46"/>
      <c r="Q13" s="82"/>
      <c r="R13" s="45"/>
      <c r="S13" s="58"/>
      <c r="T13" s="12"/>
      <c r="U13" s="12"/>
      <c r="V13" s="12"/>
      <c r="W13" s="12"/>
      <c r="X13" s="12"/>
      <c r="Y13" s="19"/>
      <c r="Z13" s="33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</row>
    <row r="14" spans="1:51">
      <c r="A14" s="12"/>
      <c r="B14" s="12" t="s">
        <v>82</v>
      </c>
      <c r="C14" s="22">
        <f>C4*(100%-C6)*(100%-C11)*(100%-C12)</f>
        <v>11996475</v>
      </c>
      <c r="D14" s="12"/>
      <c r="E14" s="19"/>
      <c r="F14" s="12" t="s">
        <v>82</v>
      </c>
      <c r="G14" s="22">
        <f>G4*(100%-G6)*(100%-G11)*(100%-G12)</f>
        <v>11996475</v>
      </c>
      <c r="H14" s="19"/>
      <c r="I14" s="57"/>
      <c r="J14" s="46"/>
      <c r="K14" s="82"/>
      <c r="L14" s="45"/>
      <c r="M14" s="58"/>
      <c r="N14" s="12"/>
      <c r="O14" s="57"/>
      <c r="P14" s="46"/>
      <c r="Q14" s="82"/>
      <c r="R14" s="45"/>
      <c r="S14" s="58"/>
      <c r="T14" s="12"/>
      <c r="U14" s="12"/>
      <c r="V14" s="12" t="s">
        <v>88</v>
      </c>
      <c r="W14" s="19"/>
      <c r="X14" s="12"/>
      <c r="Y14" s="19"/>
      <c r="Z14" s="33" t="s">
        <v>88</v>
      </c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</row>
    <row r="15" spans="1:51">
      <c r="A15" s="12"/>
      <c r="B15" s="12"/>
      <c r="C15" s="22"/>
      <c r="D15" s="12"/>
      <c r="E15" s="19"/>
      <c r="F15" s="12" t="s">
        <v>51</v>
      </c>
      <c r="G15" s="12"/>
      <c r="H15" s="88"/>
      <c r="I15" s="57"/>
      <c r="J15" s="46" t="s">
        <v>51</v>
      </c>
      <c r="K15" s="47">
        <f>K4*(100%-K6)*(100%-K7)</f>
        <v>10837500</v>
      </c>
      <c r="L15" s="47"/>
      <c r="M15" s="61"/>
      <c r="N15" s="12"/>
      <c r="O15" s="57"/>
      <c r="P15" s="46" t="s">
        <v>51</v>
      </c>
      <c r="Q15" s="47">
        <f>Q4*(100%-Q6)*(100%-Q7)</f>
        <v>10837500</v>
      </c>
      <c r="R15" s="47"/>
      <c r="S15" s="61"/>
      <c r="T15" s="12"/>
      <c r="U15" s="12"/>
      <c r="V15" s="12" t="s">
        <v>89</v>
      </c>
      <c r="W15" s="22">
        <f>W4*(100%-W6)*(100%-W7)</f>
        <v>11143143</v>
      </c>
      <c r="X15" s="12"/>
      <c r="Y15" s="19"/>
      <c r="Z15" s="33" t="s">
        <v>89</v>
      </c>
      <c r="AA15" s="19">
        <f>AA4*(100%-AA6)-AA7</f>
        <v>13109580</v>
      </c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</row>
    <row r="16" spans="1:51">
      <c r="A16" s="12"/>
      <c r="B16" s="12"/>
      <c r="C16" s="27"/>
      <c r="D16" s="12"/>
      <c r="E16" s="19"/>
      <c r="F16" s="12" t="s">
        <v>52</v>
      </c>
      <c r="G16" s="27">
        <f>PMT(G9/12,G8,-G15)</f>
        <v>0</v>
      </c>
      <c r="H16" s="12"/>
      <c r="I16" s="57"/>
      <c r="J16" s="46" t="s">
        <v>52</v>
      </c>
      <c r="K16" s="62">
        <f>PMT(K9/12,K8,-K15)</f>
        <v>69932.000870095595</v>
      </c>
      <c r="L16" s="45"/>
      <c r="M16" s="58"/>
      <c r="N16" s="12"/>
      <c r="O16" s="57"/>
      <c r="P16" s="46" t="s">
        <v>52</v>
      </c>
      <c r="Q16" s="62">
        <f>PMT(Q9/12,Q8,-Q15)</f>
        <v>69932.000870095595</v>
      </c>
      <c r="R16" s="45"/>
      <c r="S16" s="58"/>
      <c r="T16" s="12"/>
      <c r="U16" s="12"/>
      <c r="V16" s="12" t="s">
        <v>90</v>
      </c>
      <c r="W16" s="27">
        <f>IF($G$7&gt;0,AA16,PMT(W11/12,W8,-W15))</f>
        <v>93466.084357855638</v>
      </c>
      <c r="X16" s="12"/>
      <c r="Y16" s="19"/>
      <c r="Z16" s="33" t="s">
        <v>90</v>
      </c>
      <c r="AA16" s="39">
        <f>PMT(AA11/12,AA8,-AA15)</f>
        <v>93466.084357855638</v>
      </c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</row>
    <row r="17" spans="1:51" outlineLevel="1">
      <c r="A17" s="12"/>
      <c r="B17" s="12"/>
      <c r="C17" s="27"/>
      <c r="D17" s="12"/>
      <c r="E17" s="19"/>
      <c r="F17" s="12" t="s">
        <v>34</v>
      </c>
      <c r="G17" s="22" t="e">
        <f>G16*#REF!</f>
        <v>#REF!</v>
      </c>
      <c r="H17" s="12"/>
      <c r="I17" s="57"/>
      <c r="J17" s="46" t="s">
        <v>50</v>
      </c>
      <c r="K17" s="47">
        <f>K4*(100%-K6)*K7</f>
        <v>1912500</v>
      </c>
      <c r="L17" s="45"/>
      <c r="M17" s="58"/>
      <c r="N17" s="12"/>
      <c r="O17" s="57"/>
      <c r="P17" s="46" t="s">
        <v>50</v>
      </c>
      <c r="Q17" s="47">
        <f>Q4*(100%-Q6)*Q7</f>
        <v>1912500</v>
      </c>
      <c r="R17" s="45"/>
      <c r="S17" s="58"/>
      <c r="T17" s="12"/>
      <c r="U17" s="12"/>
      <c r="V17" s="12" t="s">
        <v>88</v>
      </c>
      <c r="W17" s="23">
        <v>0.13</v>
      </c>
      <c r="X17" s="12"/>
      <c r="Y17" s="19"/>
      <c r="Z17" s="33" t="s">
        <v>88</v>
      </c>
      <c r="AA17" s="111">
        <v>0.13</v>
      </c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</row>
    <row r="18" spans="1:51" outlineLevel="1">
      <c r="A18" s="12"/>
      <c r="B18" s="12"/>
      <c r="C18" s="20"/>
      <c r="D18" s="12"/>
      <c r="E18" s="19"/>
      <c r="F18" s="12" t="s">
        <v>35</v>
      </c>
      <c r="G18" s="20" t="e">
        <f>1-#REF!</f>
        <v>#REF!</v>
      </c>
      <c r="H18" s="12"/>
      <c r="I18" s="57"/>
      <c r="J18" s="46" t="s">
        <v>56</v>
      </c>
      <c r="K18" s="64">
        <f>(1-(100%-K7)*K19)</f>
        <v>0.85</v>
      </c>
      <c r="L18" s="45"/>
      <c r="M18" s="58"/>
      <c r="N18" s="12"/>
      <c r="O18" s="57"/>
      <c r="P18" s="46" t="s">
        <v>56</v>
      </c>
      <c r="Q18" s="64">
        <f>(1-(100%-Q7)*Q19)</f>
        <v>0.85</v>
      </c>
      <c r="R18" s="45"/>
      <c r="S18" s="58"/>
      <c r="T18" s="12"/>
      <c r="U18" s="12"/>
      <c r="V18" s="12" t="s">
        <v>91</v>
      </c>
      <c r="W18" s="22">
        <f>IF($G$7&gt;0,AA18,W16*W12)</f>
        <v>1121593.0122942678</v>
      </c>
      <c r="X18" s="12"/>
      <c r="Y18" s="19"/>
      <c r="Z18" s="33" t="s">
        <v>34</v>
      </c>
      <c r="AA18" s="40">
        <f>AA16*AA12</f>
        <v>1121593.0122942678</v>
      </c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</row>
    <row r="19" spans="1:51" outlineLevel="1">
      <c r="A19" s="12"/>
      <c r="B19" s="12" t="s">
        <v>62</v>
      </c>
      <c r="C19" s="20">
        <v>0.27361760000000002</v>
      </c>
      <c r="D19" s="12"/>
      <c r="E19" s="19"/>
      <c r="F19" s="12" t="s">
        <v>32</v>
      </c>
      <c r="G19" s="20" t="e">
        <f>G17/G15</f>
        <v>#REF!</v>
      </c>
      <c r="H19" s="12"/>
      <c r="I19" s="57"/>
      <c r="J19" s="46" t="s">
        <v>32</v>
      </c>
      <c r="K19" s="63">
        <f>K17/K15</f>
        <v>0.17647058823529413</v>
      </c>
      <c r="L19" s="93" t="s">
        <v>65</v>
      </c>
      <c r="M19" s="58"/>
      <c r="N19" s="12"/>
      <c r="O19" s="57"/>
      <c r="P19" s="46" t="s">
        <v>32</v>
      </c>
      <c r="Q19" s="63">
        <f>Q17/Q15</f>
        <v>0.17647058823529413</v>
      </c>
      <c r="R19" s="93" t="s">
        <v>65</v>
      </c>
      <c r="S19" s="58"/>
      <c r="T19" s="12"/>
      <c r="U19" s="12"/>
      <c r="V19" s="12" t="s">
        <v>92</v>
      </c>
      <c r="W19" s="22">
        <f>IF($G$7&gt;0,AA19,W18*W17+W18)</f>
        <v>1267400.1038925226</v>
      </c>
      <c r="X19" s="12"/>
      <c r="Y19" s="19"/>
      <c r="Z19" s="33" t="s">
        <v>92</v>
      </c>
      <c r="AA19" s="40">
        <f>AA18*AA17+AA18</f>
        <v>1267400.1038925226</v>
      </c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</row>
    <row r="20" spans="1:51" outlineLevel="1">
      <c r="A20" s="12"/>
      <c r="B20" s="12" t="s">
        <v>63</v>
      </c>
      <c r="C20" s="27">
        <f>C19*(C4*(100%-C6))</f>
        <v>3488624.4000000004</v>
      </c>
      <c r="D20" s="12"/>
      <c r="E20" s="19"/>
      <c r="F20" s="12" t="s">
        <v>53</v>
      </c>
      <c r="G20" s="22" t="e">
        <f>G17/G18</f>
        <v>#REF!</v>
      </c>
      <c r="H20" s="88"/>
      <c r="I20" s="57"/>
      <c r="J20" s="46" t="s">
        <v>64</v>
      </c>
      <c r="K20" s="65">
        <f>K17/K18</f>
        <v>2250000</v>
      </c>
      <c r="L20" s="45"/>
      <c r="M20" s="58"/>
      <c r="N20" s="12"/>
      <c r="O20" s="57"/>
      <c r="P20" s="46" t="s">
        <v>64</v>
      </c>
      <c r="Q20" s="65">
        <f>Q17/Q18</f>
        <v>2250000</v>
      </c>
      <c r="R20" s="45"/>
      <c r="S20" s="58"/>
      <c r="T20" s="12"/>
      <c r="U20" s="12"/>
      <c r="V20" s="12" t="s">
        <v>93</v>
      </c>
      <c r="W20" s="20">
        <f>IF($G$7&gt;0,AA20,W18/W15)</f>
        <v>8.5555220860948078E-2</v>
      </c>
      <c r="X20" s="12"/>
      <c r="Y20" s="19"/>
      <c r="Z20" s="33" t="s">
        <v>93</v>
      </c>
      <c r="AA20" s="38">
        <f>AA18/AA15</f>
        <v>8.5555220860948078E-2</v>
      </c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</row>
    <row r="21" spans="1:51">
      <c r="A21" s="12"/>
      <c r="B21" s="12"/>
      <c r="C21" s="12"/>
      <c r="D21" s="12"/>
      <c r="E21" s="19"/>
      <c r="F21" s="12"/>
      <c r="G21" s="12"/>
      <c r="H21" s="12"/>
      <c r="I21" s="57"/>
      <c r="J21" s="46"/>
      <c r="K21" s="46"/>
      <c r="L21" s="45"/>
      <c r="M21" s="58"/>
      <c r="N21" s="12"/>
      <c r="O21" s="57"/>
      <c r="P21" s="46"/>
      <c r="Q21" s="46"/>
      <c r="R21" s="45"/>
      <c r="S21" s="58"/>
      <c r="T21" s="12"/>
      <c r="U21" s="12"/>
      <c r="V21" s="12" t="s">
        <v>35</v>
      </c>
      <c r="W21" s="20">
        <f>IF($G$7&gt;0,AA21,(1-(100%-W7)*W20))</f>
        <v>0.91444477913905198</v>
      </c>
      <c r="X21" s="12"/>
      <c r="Y21" s="19"/>
      <c r="Z21" s="33" t="s">
        <v>35</v>
      </c>
      <c r="AA21" s="38">
        <f>1-AA20</f>
        <v>0.91444477913905198</v>
      </c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</row>
    <row r="22" spans="1:51">
      <c r="A22" s="12"/>
      <c r="B22" s="30" t="s">
        <v>58</v>
      </c>
      <c r="C22" s="51">
        <f>(C4*(100%-C6)+C20)</f>
        <v>16238624.4</v>
      </c>
      <c r="D22" s="12"/>
      <c r="E22" s="19"/>
      <c r="F22" s="12" t="s">
        <v>24</v>
      </c>
      <c r="G22" s="12" t="e">
        <f>(G4*(100%-G6)+G20)</f>
        <v>#REF!</v>
      </c>
      <c r="H22" s="12"/>
      <c r="I22" s="57"/>
      <c r="J22" s="49" t="s">
        <v>24</v>
      </c>
      <c r="K22" s="66">
        <f>(K4*(100%-K6)+K20)</f>
        <v>15000000</v>
      </c>
      <c r="L22" s="45"/>
      <c r="M22" s="58"/>
      <c r="N22" s="12"/>
      <c r="O22" s="57"/>
      <c r="P22" s="49" t="s">
        <v>24</v>
      </c>
      <c r="Q22" s="66">
        <f>(Q4*(100%-Q6)+Q20)</f>
        <v>15000000</v>
      </c>
      <c r="R22" s="45"/>
      <c r="S22" s="58"/>
      <c r="T22" s="12"/>
      <c r="U22" s="12"/>
      <c r="V22" s="12" t="s">
        <v>32</v>
      </c>
      <c r="W22" s="20">
        <f>IF($G$7&gt;0,AA22,W18/W15)</f>
        <v>8.5555220860948078E-2</v>
      </c>
      <c r="X22" s="12"/>
      <c r="Y22" s="19"/>
      <c r="Z22" s="33" t="s">
        <v>32</v>
      </c>
      <c r="AA22" s="38">
        <f>AA18/AA15</f>
        <v>8.5555220860948078E-2</v>
      </c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</row>
    <row r="23" spans="1:51">
      <c r="A23" s="12"/>
      <c r="B23" s="30" t="s">
        <v>30</v>
      </c>
      <c r="C23" s="27">
        <f>C22*(100%-C7)</f>
        <v>13802830.74</v>
      </c>
      <c r="D23" s="12"/>
      <c r="E23" s="19"/>
      <c r="F23" s="12" t="s">
        <v>30</v>
      </c>
      <c r="G23" s="22" t="e">
        <f>G22-G24</f>
        <v>#REF!</v>
      </c>
      <c r="H23" s="12"/>
      <c r="I23" s="57"/>
      <c r="J23" s="49" t="s">
        <v>30</v>
      </c>
      <c r="K23" s="67">
        <f>K22*(100%-K7)</f>
        <v>12750000</v>
      </c>
      <c r="L23" s="90"/>
      <c r="M23" s="58"/>
      <c r="N23" s="12"/>
      <c r="O23" s="57"/>
      <c r="P23" s="49" t="s">
        <v>30</v>
      </c>
      <c r="Q23" s="67">
        <f>Q22*(100%-Q7)</f>
        <v>12750000</v>
      </c>
      <c r="R23" s="90"/>
      <c r="S23" s="58"/>
      <c r="T23" s="12"/>
      <c r="U23" s="12"/>
      <c r="V23" s="12" t="s">
        <v>94</v>
      </c>
      <c r="W23" s="22">
        <f>IF($G$7&gt;0,AA23,W18/W21)</f>
        <v>1226528.9691415215</v>
      </c>
      <c r="X23" s="12"/>
      <c r="Y23" s="19"/>
      <c r="Z23" s="33" t="s">
        <v>94</v>
      </c>
      <c r="AA23" s="40">
        <f>AA18/AA21</f>
        <v>1226528.9691415215</v>
      </c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</row>
    <row r="24" spans="1:51">
      <c r="A24" s="12"/>
      <c r="B24" s="30" t="s">
        <v>45</v>
      </c>
      <c r="C24" s="27">
        <f>C22-C23</f>
        <v>2435793.66</v>
      </c>
      <c r="D24" s="12"/>
      <c r="E24" s="19"/>
      <c r="F24" s="12" t="s">
        <v>14</v>
      </c>
      <c r="G24" s="22">
        <f>G7</f>
        <v>1500000</v>
      </c>
      <c r="H24" s="12"/>
      <c r="I24" s="57"/>
      <c r="J24" s="49" t="s">
        <v>45</v>
      </c>
      <c r="K24" s="67">
        <f>K22-K23</f>
        <v>2250000</v>
      </c>
      <c r="L24" s="45"/>
      <c r="M24" s="58"/>
      <c r="N24" s="12"/>
      <c r="O24" s="57"/>
      <c r="P24" s="49" t="s">
        <v>45</v>
      </c>
      <c r="Q24" s="67">
        <f>Q22-Q23</f>
        <v>2250000</v>
      </c>
      <c r="R24" s="45"/>
      <c r="S24" s="58"/>
      <c r="T24" s="12"/>
      <c r="U24" s="12"/>
      <c r="V24" s="12"/>
      <c r="W24" s="12"/>
      <c r="X24" s="12"/>
      <c r="Y24" s="19"/>
      <c r="Z24" s="33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</row>
    <row r="25" spans="1:51">
      <c r="A25" s="12"/>
      <c r="B25" s="30" t="s">
        <v>46</v>
      </c>
      <c r="C25" s="20">
        <f>C24/C22</f>
        <v>0.15</v>
      </c>
      <c r="D25" s="43" t="str">
        <f>IF(C25&lt;15%,"ПВ менее 15% !!!","")</f>
        <v/>
      </c>
      <c r="E25" s="19"/>
      <c r="F25" s="12"/>
      <c r="G25" s="22"/>
      <c r="H25" s="12"/>
      <c r="I25" s="57"/>
      <c r="J25" s="49" t="s">
        <v>46</v>
      </c>
      <c r="K25" s="68">
        <f>K24/K22</f>
        <v>0.15</v>
      </c>
      <c r="L25" s="45"/>
      <c r="M25" s="58"/>
      <c r="N25" s="12"/>
      <c r="O25" s="57"/>
      <c r="P25" s="49" t="s">
        <v>46</v>
      </c>
      <c r="Q25" s="68">
        <f>Q24/Q22</f>
        <v>0.15</v>
      </c>
      <c r="R25" s="45"/>
      <c r="S25" s="58"/>
      <c r="T25" s="12"/>
      <c r="U25" s="12"/>
      <c r="V25" s="30" t="s">
        <v>24</v>
      </c>
      <c r="W25" s="51">
        <f>(W4*(100%-W6)+W23)</f>
        <v>14336108.969141521</v>
      </c>
      <c r="X25" s="12"/>
      <c r="Y25" s="19"/>
      <c r="Z25" s="33" t="s">
        <v>24</v>
      </c>
      <c r="AA25" s="19">
        <f>(AA4*(100%-AA6)+AA23)</f>
        <v>14336108.969141521</v>
      </c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</row>
    <row r="26" spans="1:51">
      <c r="A26" s="12"/>
      <c r="B26" s="30" t="s">
        <v>22</v>
      </c>
      <c r="C26" s="27">
        <f>PMT(C9/12,C8,-C23)</f>
        <v>89066.62711136906</v>
      </c>
      <c r="D26" s="12"/>
      <c r="E26" s="19"/>
      <c r="F26" s="12" t="s">
        <v>22</v>
      </c>
      <c r="G26" s="12" t="e">
        <f>PMT(G9/12,G8,-G23)</f>
        <v>#REF!</v>
      </c>
      <c r="H26" s="12"/>
      <c r="I26" s="57"/>
      <c r="J26" s="49" t="s">
        <v>22</v>
      </c>
      <c r="K26" s="87">
        <f>PMT(K9/12,K8,-K23)</f>
        <v>82272.942200112462</v>
      </c>
      <c r="L26" s="45"/>
      <c r="M26" s="58"/>
      <c r="N26" s="12"/>
      <c r="O26" s="57"/>
      <c r="P26" s="49" t="s">
        <v>22</v>
      </c>
      <c r="Q26" s="87">
        <f>PMT(Q9/12,Q8,-Q23)</f>
        <v>82272.942200112462</v>
      </c>
      <c r="R26" s="45"/>
      <c r="S26" s="58"/>
      <c r="T26" s="12"/>
      <c r="U26" s="12"/>
      <c r="V26" s="30" t="s">
        <v>30</v>
      </c>
      <c r="W26" s="112">
        <f>IF($G$7&gt;0,AA26,(W4*(100%-W6)+W23)*(100%-W7))</f>
        <v>14336108.969141521</v>
      </c>
      <c r="X26" s="12"/>
      <c r="Y26" s="19"/>
      <c r="Z26" s="33" t="s">
        <v>30</v>
      </c>
      <c r="AA26" s="40">
        <f>AA25-AA27</f>
        <v>14336108.969141521</v>
      </c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</row>
    <row r="27" spans="1:51">
      <c r="A27" s="12"/>
      <c r="B27" s="30" t="s">
        <v>40</v>
      </c>
      <c r="C27" s="85">
        <f>C22*C7</f>
        <v>2435793.66</v>
      </c>
      <c r="D27" s="32"/>
      <c r="E27" s="19"/>
      <c r="F27" s="12" t="s">
        <v>40</v>
      </c>
      <c r="G27" s="22" t="e">
        <f>G26*#REF!</f>
        <v>#REF!</v>
      </c>
      <c r="H27" s="27"/>
      <c r="I27" s="57"/>
      <c r="J27" s="49" t="s">
        <v>57</v>
      </c>
      <c r="K27" s="85">
        <f>K22*K7</f>
        <v>2250000</v>
      </c>
      <c r="L27" s="45"/>
      <c r="M27" s="58"/>
      <c r="N27" s="12"/>
      <c r="O27" s="57"/>
      <c r="P27" s="49" t="s">
        <v>57</v>
      </c>
      <c r="Q27" s="85">
        <f>Q22*Q7</f>
        <v>2250000</v>
      </c>
      <c r="R27" s="45"/>
      <c r="S27" s="58"/>
      <c r="T27" s="12"/>
      <c r="U27" s="12"/>
      <c r="V27" s="30" t="s">
        <v>45</v>
      </c>
      <c r="W27" s="112">
        <f>W25-W26</f>
        <v>0</v>
      </c>
      <c r="X27" s="12"/>
      <c r="Y27" s="19"/>
      <c r="Z27" s="33" t="s">
        <v>14</v>
      </c>
      <c r="AA27" s="40">
        <f>AA7</f>
        <v>0</v>
      </c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</row>
    <row r="28" spans="1:51">
      <c r="A28" s="12"/>
      <c r="B28" s="44"/>
      <c r="C28" s="27"/>
      <c r="D28" s="12"/>
      <c r="E28" s="19"/>
      <c r="F28" s="12" t="s">
        <v>39</v>
      </c>
      <c r="G28" s="12" t="e">
        <f>IF(G27&gt;5000000,(5000000*13%+(G27-5000000)*15%),G27-G27*13%)</f>
        <v>#REF!</v>
      </c>
      <c r="H28" s="12"/>
      <c r="I28" s="57"/>
      <c r="J28" s="50" t="s">
        <v>49</v>
      </c>
      <c r="K28" s="67">
        <f>IF(K27&gt;5000000,(5000000*13%+(K27-5000000)*15%),K27-K27*13%)</f>
        <v>1957500</v>
      </c>
      <c r="L28" s="45"/>
      <c r="M28" s="58"/>
      <c r="N28" s="12"/>
      <c r="O28" s="57"/>
      <c r="P28" s="50" t="s">
        <v>49</v>
      </c>
      <c r="Q28" s="67">
        <f>IF(Q27&gt;5000000,(5000000*13%+(Q27-5000000)*15%),Q27-Q27*13%)</f>
        <v>1957500</v>
      </c>
      <c r="R28" s="45"/>
      <c r="S28" s="58"/>
      <c r="T28" s="12"/>
      <c r="U28" s="12"/>
      <c r="V28" s="30" t="s">
        <v>46</v>
      </c>
      <c r="W28" s="113">
        <f>W27/W25</f>
        <v>0</v>
      </c>
      <c r="X28" s="43" t="str">
        <f>IF(W28&lt;15%,"ПВ менее 15% !!!","")</f>
        <v>ПВ менее 15% !!!</v>
      </c>
      <c r="Y28" s="19"/>
      <c r="Z28" s="33"/>
      <c r="AA28" s="40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</row>
    <row r="29" spans="1:51" ht="18" customHeight="1">
      <c r="A29" s="12"/>
      <c r="B29" s="30"/>
      <c r="C29" s="89"/>
      <c r="D29" s="12"/>
      <c r="E29" s="19"/>
      <c r="F29" s="12" t="s">
        <v>25</v>
      </c>
      <c r="G29" s="118" t="e">
        <f>IF(G27=G20,"верно","ошибка")</f>
        <v>#REF!</v>
      </c>
      <c r="H29" s="88"/>
      <c r="I29" s="57"/>
      <c r="J29" s="49" t="s">
        <v>25</v>
      </c>
      <c r="K29" s="86" t="str">
        <f>IF(K27=K20,"верно","ошибка")</f>
        <v>верно</v>
      </c>
      <c r="L29" s="45"/>
      <c r="M29" s="58"/>
      <c r="N29" s="12"/>
      <c r="O29" s="57"/>
      <c r="P29" s="49" t="s">
        <v>25</v>
      </c>
      <c r="Q29" s="86" t="str">
        <f>IF(Q27=Q20,"верно","ошибка")</f>
        <v>верно</v>
      </c>
      <c r="R29" s="45"/>
      <c r="S29" s="58"/>
      <c r="T29" s="12"/>
      <c r="U29" s="12"/>
      <c r="V29" s="30" t="s">
        <v>22</v>
      </c>
      <c r="W29" s="114">
        <f>PMT(W11/12,W8,-W26)</f>
        <v>102210.74742846012</v>
      </c>
      <c r="X29" s="12"/>
      <c r="Y29" s="19"/>
      <c r="Z29" s="33" t="s">
        <v>22</v>
      </c>
      <c r="AA29" s="19">
        <f>PMT(AA11/12,AA8,-AA26)</f>
        <v>102210.74742846012</v>
      </c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</row>
    <row r="30" spans="1:51">
      <c r="A30" s="12"/>
      <c r="B30" s="12"/>
      <c r="C30" s="12"/>
      <c r="D30" s="12"/>
      <c r="E30" s="19"/>
      <c r="F30" s="12"/>
      <c r="G30" s="12"/>
      <c r="H30" s="12"/>
      <c r="I30" s="57"/>
      <c r="J30" s="46"/>
      <c r="K30" s="45"/>
      <c r="L30" s="45"/>
      <c r="M30" s="58"/>
      <c r="N30" s="12"/>
      <c r="O30" s="57"/>
      <c r="P30" s="46"/>
      <c r="Q30" s="45"/>
      <c r="R30" s="45"/>
      <c r="S30" s="58"/>
      <c r="T30" s="12"/>
      <c r="U30" s="12"/>
      <c r="V30" s="30" t="s">
        <v>40</v>
      </c>
      <c r="W30" s="112">
        <f>W29*W12</f>
        <v>1226528.9691415215</v>
      </c>
      <c r="X30" s="32"/>
      <c r="Y30" s="19"/>
      <c r="Z30" s="33" t="s">
        <v>40</v>
      </c>
      <c r="AA30" s="40">
        <f>AA29*AA12</f>
        <v>1226528.9691415215</v>
      </c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</row>
    <row r="31" spans="1:51" ht="21">
      <c r="A31" s="12"/>
      <c r="B31" s="554" t="s">
        <v>74</v>
      </c>
      <c r="C31" s="554"/>
      <c r="D31" s="12"/>
      <c r="E31" s="19"/>
      <c r="F31" s="12" t="s">
        <v>41</v>
      </c>
      <c r="G31" s="12"/>
      <c r="H31" s="12"/>
      <c r="I31" s="57"/>
      <c r="J31" s="525" t="s">
        <v>41</v>
      </c>
      <c r="K31" s="525"/>
      <c r="L31" s="45"/>
      <c r="M31" s="58"/>
      <c r="N31" s="12"/>
      <c r="O31" s="57"/>
      <c r="P31" s="525" t="s">
        <v>41</v>
      </c>
      <c r="Q31" s="525"/>
      <c r="R31" s="45"/>
      <c r="S31" s="58"/>
      <c r="T31" s="12"/>
      <c r="U31" s="12"/>
      <c r="V31" s="44" t="s">
        <v>39</v>
      </c>
      <c r="W31" s="123">
        <f>IF(W30&gt;5000000,(5000000*13%+(W30-5000000)*15%),W30-W30*13%)</f>
        <v>1067080.2031531236</v>
      </c>
      <c r="X31" s="12"/>
      <c r="Y31" s="19"/>
      <c r="Z31" s="33" t="s">
        <v>39</v>
      </c>
      <c r="AA31" s="19">
        <f>IF(AA30&gt;5000000,(5000000*13%+(AA30-5000000)*15%),AA30-AA30*13%)</f>
        <v>1067080.2031531236</v>
      </c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</row>
    <row r="32" spans="1:51" ht="28.5" customHeight="1">
      <c r="A32" s="12"/>
      <c r="B32" s="28" t="s">
        <v>79</v>
      </c>
      <c r="C32" s="95">
        <f>C4*(100%-C6)*(C11+C12)</f>
        <v>765000</v>
      </c>
      <c r="D32" s="30"/>
      <c r="E32" s="109"/>
      <c r="F32" s="30" t="s">
        <v>42</v>
      </c>
      <c r="G32" s="95" t="e">
        <f>G26-G16</f>
        <v>#REF!</v>
      </c>
      <c r="H32" s="110">
        <f>C12+C11</f>
        <v>0.06</v>
      </c>
      <c r="I32" s="57"/>
      <c r="J32" s="46" t="s">
        <v>42</v>
      </c>
      <c r="K32" s="84">
        <f>K26-K16</f>
        <v>12340.941330016867</v>
      </c>
      <c r="L32" s="45"/>
      <c r="M32" s="58"/>
      <c r="N32" s="12"/>
      <c r="O32" s="57"/>
      <c r="P32" s="46" t="s">
        <v>42</v>
      </c>
      <c r="Q32" s="84">
        <f>Q26-Q16</f>
        <v>12340.941330016867</v>
      </c>
      <c r="R32" s="45"/>
      <c r="S32" s="58"/>
      <c r="T32" s="12"/>
      <c r="U32" s="12"/>
      <c r="V32" s="30" t="s">
        <v>25</v>
      </c>
      <c r="W32" s="24" t="str">
        <f>IF(W30=W23,"верно","ошибка")</f>
        <v>верно</v>
      </c>
      <c r="X32" s="26"/>
      <c r="Y32" s="19"/>
      <c r="Z32" s="33" t="s">
        <v>25</v>
      </c>
      <c r="AA32" s="19" t="str">
        <f>IF(AA30=AA23,"верно","ошибка")</f>
        <v>верно</v>
      </c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</row>
    <row r="33" spans="1:51">
      <c r="A33" s="12"/>
      <c r="B33" s="12" t="s">
        <v>59</v>
      </c>
      <c r="C33" s="32">
        <f>C20-C27</f>
        <v>1052830.7400000002</v>
      </c>
      <c r="D33" s="12"/>
      <c r="E33" s="19"/>
      <c r="F33" s="33" t="s">
        <v>54</v>
      </c>
      <c r="G33" s="107" t="e">
        <f>G28/G32</f>
        <v>#REF!</v>
      </c>
      <c r="H33" s="19"/>
      <c r="I33" s="57"/>
      <c r="J33" s="46" t="s">
        <v>54</v>
      </c>
      <c r="K33" s="48">
        <f>K28/K32</f>
        <v>158.61837015939565</v>
      </c>
      <c r="L33" s="45"/>
      <c r="M33" s="58"/>
      <c r="N33" s="12"/>
      <c r="O33" s="57"/>
      <c r="P33" s="46" t="s">
        <v>54</v>
      </c>
      <c r="Q33" s="48">
        <f>Q28/Q32</f>
        <v>158.61837015939565</v>
      </c>
      <c r="R33" s="45"/>
      <c r="S33" s="58"/>
      <c r="T33" s="12"/>
      <c r="U33" s="12"/>
      <c r="V33" s="30" t="s">
        <v>95</v>
      </c>
      <c r="W33" s="115">
        <f>W30/W26</f>
        <v>8.5555220860948078E-2</v>
      </c>
      <c r="X33" s="26"/>
      <c r="Y33" s="19"/>
      <c r="Z33" s="33" t="s">
        <v>95</v>
      </c>
      <c r="AA33" s="116">
        <f>AA30/AA26</f>
        <v>8.5555220860948078E-2</v>
      </c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</row>
    <row r="34" spans="1:51">
      <c r="A34" s="12"/>
      <c r="B34" s="12" t="s">
        <v>60</v>
      </c>
      <c r="C34" s="32">
        <f>C27*12%</f>
        <v>292295.23920000001</v>
      </c>
      <c r="D34" s="12"/>
      <c r="E34" s="19"/>
      <c r="F34" s="33" t="s">
        <v>55</v>
      </c>
      <c r="G34" s="107" t="e">
        <f>G33/12</f>
        <v>#REF!</v>
      </c>
      <c r="H34" s="19"/>
      <c r="I34" s="57"/>
      <c r="J34" s="46" t="s">
        <v>55</v>
      </c>
      <c r="K34" s="48">
        <f>K33/12</f>
        <v>13.218197513282972</v>
      </c>
      <c r="L34" s="45"/>
      <c r="M34" s="58"/>
      <c r="N34" s="12"/>
      <c r="O34" s="57"/>
      <c r="P34" s="46" t="s">
        <v>55</v>
      </c>
      <c r="Q34" s="48">
        <f>Q33/12</f>
        <v>13.218197513282972</v>
      </c>
      <c r="R34" s="45"/>
      <c r="S34" s="58"/>
      <c r="T34" s="12"/>
      <c r="U34" s="12"/>
      <c r="V34" s="12"/>
      <c r="W34" s="12"/>
      <c r="X34" s="12"/>
      <c r="Y34" s="19"/>
      <c r="Z34" s="33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</row>
    <row r="35" spans="1:51">
      <c r="A35" s="12"/>
      <c r="B35" s="91" t="s">
        <v>61</v>
      </c>
      <c r="C35" s="92">
        <f>SUM(C32:C34)</f>
        <v>2110125.9792000004</v>
      </c>
      <c r="D35" s="12"/>
      <c r="E35" s="19"/>
      <c r="F35" s="33"/>
      <c r="G35" s="12"/>
      <c r="H35" s="19"/>
      <c r="I35" s="57"/>
      <c r="J35" s="46"/>
      <c r="K35" s="46"/>
      <c r="L35" s="45"/>
      <c r="M35" s="58"/>
      <c r="N35" s="12"/>
      <c r="O35" s="57"/>
      <c r="P35" s="46"/>
      <c r="Q35" s="46"/>
      <c r="R35" s="45"/>
      <c r="S35" s="58"/>
      <c r="T35" s="12"/>
      <c r="U35" s="12"/>
      <c r="V35" s="554" t="s">
        <v>41</v>
      </c>
      <c r="W35" s="554"/>
      <c r="X35" s="12"/>
      <c r="Y35" s="19"/>
      <c r="Z35" s="33" t="s">
        <v>41</v>
      </c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</row>
    <row r="36" spans="1:51" outlineLevel="1">
      <c r="A36" s="12"/>
      <c r="B36" s="12"/>
      <c r="C36" s="32"/>
      <c r="D36" s="12"/>
      <c r="E36" s="19"/>
      <c r="F36" s="33" t="s">
        <v>29</v>
      </c>
      <c r="G36" s="20" t="e">
        <f>(G23-G27)/G4-100%</f>
        <v>#REF!</v>
      </c>
      <c r="H36" s="19"/>
      <c r="I36" s="57"/>
      <c r="J36" s="46" t="s">
        <v>29</v>
      </c>
      <c r="K36" s="63">
        <f>(K23-K27)/K4-100%</f>
        <v>-0.30000000000000004</v>
      </c>
      <c r="L36" s="45"/>
      <c r="M36" s="58"/>
      <c r="N36" s="12"/>
      <c r="O36" s="57"/>
      <c r="P36" s="46" t="s">
        <v>29</v>
      </c>
      <c r="Q36" s="63">
        <f>(Q23-Q27)/Q4-100%</f>
        <v>-0.30000000000000004</v>
      </c>
      <c r="R36" s="45"/>
      <c r="S36" s="58"/>
      <c r="T36" s="12"/>
      <c r="U36" s="12"/>
      <c r="V36" s="12" t="s">
        <v>42</v>
      </c>
      <c r="W36" s="32">
        <f>W29-W16</f>
        <v>8744.6630706044816</v>
      </c>
      <c r="X36" s="12"/>
      <c r="Y36" s="19"/>
      <c r="Z36" s="33" t="s">
        <v>42</v>
      </c>
      <c r="AA36" s="117">
        <f>AA29-AA16</f>
        <v>8744.6630706044816</v>
      </c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</row>
    <row r="37" spans="1:51" outlineLevel="1">
      <c r="A37" s="12"/>
      <c r="B37" s="12" t="s">
        <v>67</v>
      </c>
      <c r="C37" s="32">
        <f>(C22-C14)*20%</f>
        <v>848429.88000000012</v>
      </c>
      <c r="D37" s="12"/>
      <c r="E37" s="19"/>
      <c r="F37" s="33" t="s">
        <v>28</v>
      </c>
      <c r="G37" s="22" t="e">
        <f>G22-G4</f>
        <v>#REF!</v>
      </c>
      <c r="H37" s="97">
        <f>(C22-C14)/(1+20%)*20%</f>
        <v>707024.90000000014</v>
      </c>
      <c r="I37" s="57"/>
      <c r="J37" s="46" t="s">
        <v>28</v>
      </c>
      <c r="K37" s="65">
        <f>K22-K4</f>
        <v>0</v>
      </c>
      <c r="L37" s="45"/>
      <c r="M37" s="58"/>
      <c r="N37" s="12"/>
      <c r="O37" s="57"/>
      <c r="P37" s="46" t="s">
        <v>28</v>
      </c>
      <c r="Q37" s="65">
        <f>Q22-Q4</f>
        <v>0</v>
      </c>
      <c r="R37" s="45"/>
      <c r="S37" s="58"/>
      <c r="T37" s="12"/>
      <c r="U37" s="12"/>
      <c r="V37" s="12" t="s">
        <v>96</v>
      </c>
      <c r="W37" s="107">
        <f>W31/W36</f>
        <v>122.02645139526923</v>
      </c>
      <c r="X37" s="12"/>
      <c r="Y37" s="19"/>
      <c r="Z37" s="33" t="s">
        <v>96</v>
      </c>
      <c r="AA37" s="41">
        <f>AA31/AA36</f>
        <v>122.02645139526923</v>
      </c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</row>
    <row r="38" spans="1:51" outlineLevel="1">
      <c r="A38" s="12"/>
      <c r="B38" s="12" t="s">
        <v>69</v>
      </c>
      <c r="C38" s="32">
        <f>C41+C40+C22-C27-C14-C42</f>
        <v>1634608.5181000009</v>
      </c>
      <c r="D38" s="12"/>
      <c r="E38" s="19"/>
      <c r="F38" s="33" t="s">
        <v>31</v>
      </c>
      <c r="G38" s="20" t="e">
        <f>G37/G4*(-1)</f>
        <v>#REF!</v>
      </c>
      <c r="H38" s="32"/>
      <c r="I38" s="69"/>
      <c r="J38" s="46" t="s">
        <v>31</v>
      </c>
      <c r="K38" s="63">
        <f>K37/K4*(-1)</f>
        <v>0</v>
      </c>
      <c r="L38" s="45"/>
      <c r="M38" s="58"/>
      <c r="N38" s="12"/>
      <c r="O38" s="69"/>
      <c r="P38" s="46" t="s">
        <v>31</v>
      </c>
      <c r="Q38" s="63">
        <f>Q37/Q4*(-1)</f>
        <v>0</v>
      </c>
      <c r="R38" s="45"/>
      <c r="S38" s="58"/>
      <c r="T38" s="12"/>
      <c r="U38" s="12"/>
      <c r="V38" s="12" t="s">
        <v>97</v>
      </c>
      <c r="W38" s="107">
        <f>W37/12</f>
        <v>10.16887094960577</v>
      </c>
      <c r="X38" s="12"/>
      <c r="Y38" s="19"/>
      <c r="Z38" s="33" t="s">
        <v>97</v>
      </c>
      <c r="AA38" s="41">
        <f>AA37/12</f>
        <v>10.16887094960577</v>
      </c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</row>
    <row r="39" spans="1:51" outlineLevel="1">
      <c r="A39" s="12"/>
      <c r="B39" s="12" t="s">
        <v>66</v>
      </c>
      <c r="C39" s="32">
        <f>C38*20%</f>
        <v>326921.70362000022</v>
      </c>
      <c r="D39" s="12"/>
      <c r="E39" s="19"/>
      <c r="F39" s="33"/>
      <c r="G39" s="20"/>
      <c r="H39" s="96"/>
      <c r="I39" s="69"/>
      <c r="J39" s="46"/>
      <c r="K39" s="63"/>
      <c r="L39" s="45"/>
      <c r="M39" s="58"/>
      <c r="N39" s="12"/>
      <c r="O39" s="69"/>
      <c r="P39" s="46"/>
      <c r="Q39" s="63"/>
      <c r="R39" s="45"/>
      <c r="S39" s="58"/>
      <c r="T39" s="12"/>
      <c r="U39" s="12"/>
      <c r="V39" s="12"/>
      <c r="W39" s="12"/>
      <c r="X39" s="12"/>
      <c r="Y39" s="19"/>
      <c r="Z39" s="33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</row>
    <row r="40" spans="1:51" ht="27" customHeight="1">
      <c r="A40" s="12"/>
      <c r="B40" s="28" t="s">
        <v>71</v>
      </c>
      <c r="C40" s="95">
        <f>C27*3.5%</f>
        <v>85252.77810000001</v>
      </c>
      <c r="D40" s="12"/>
      <c r="E40" s="19"/>
      <c r="F40" s="33"/>
      <c r="G40" s="12"/>
      <c r="H40" s="12"/>
      <c r="I40" s="69"/>
      <c r="J40" s="45"/>
      <c r="K40" s="45"/>
      <c r="L40" s="45"/>
      <c r="M40" s="58"/>
      <c r="N40" s="12"/>
      <c r="O40" s="69"/>
      <c r="P40" s="45"/>
      <c r="Q40" s="45"/>
      <c r="R40" s="45"/>
      <c r="S40" s="58"/>
      <c r="T40" s="12"/>
      <c r="U40" s="12"/>
      <c r="V40" s="12" t="s">
        <v>29</v>
      </c>
      <c r="W40" s="20">
        <f>(W26-W30)/W4-100%</f>
        <v>0</v>
      </c>
      <c r="X40" s="12"/>
      <c r="Y40" s="19"/>
      <c r="Z40" s="33" t="s">
        <v>29</v>
      </c>
      <c r="AA40" s="38">
        <f>(AA26-AA30)/AA4-100%</f>
        <v>0</v>
      </c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</row>
    <row r="41" spans="1:51">
      <c r="A41" s="12"/>
      <c r="B41" s="12" t="s">
        <v>70</v>
      </c>
      <c r="C41" s="32">
        <v>100000</v>
      </c>
      <c r="D41" s="12"/>
      <c r="E41" s="19"/>
      <c r="F41" s="33"/>
      <c r="G41" s="12"/>
      <c r="H41" s="12"/>
      <c r="I41" s="69"/>
      <c r="J41" s="45"/>
      <c r="K41" s="45"/>
      <c r="L41" s="45"/>
      <c r="M41" s="58"/>
      <c r="N41" s="12"/>
      <c r="O41" s="69"/>
      <c r="P41" s="45"/>
      <c r="Q41" s="45"/>
      <c r="R41" s="45"/>
      <c r="S41" s="58"/>
      <c r="T41" s="12"/>
      <c r="U41" s="12"/>
      <c r="V41" s="12" t="s">
        <v>28</v>
      </c>
      <c r="W41" s="22">
        <f>W25-W4</f>
        <v>1226528.9691415206</v>
      </c>
      <c r="X41" s="12"/>
      <c r="Y41" s="19"/>
      <c r="Z41" s="33" t="s">
        <v>28</v>
      </c>
      <c r="AA41" s="40">
        <f>AA25-AA4</f>
        <v>1226528.9691415206</v>
      </c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</row>
    <row r="42" spans="1:51" ht="22.5">
      <c r="A42" s="12"/>
      <c r="B42" s="28" t="s">
        <v>83</v>
      </c>
      <c r="C42" s="32">
        <f>C13*(C12-0.2%)</f>
        <v>356999.99999999994</v>
      </c>
      <c r="D42" s="12"/>
      <c r="E42" s="19"/>
      <c r="F42" s="33"/>
      <c r="G42" s="12"/>
      <c r="H42" s="12"/>
      <c r="I42" s="69"/>
      <c r="J42" s="45"/>
      <c r="K42" s="45"/>
      <c r="L42" s="45"/>
      <c r="M42" s="58"/>
      <c r="N42" s="12"/>
      <c r="O42" s="69"/>
      <c r="P42" s="45"/>
      <c r="Q42" s="45"/>
      <c r="R42" s="45"/>
      <c r="S42" s="58"/>
      <c r="T42" s="12"/>
      <c r="U42" s="12"/>
      <c r="V42" s="12" t="s">
        <v>31</v>
      </c>
      <c r="W42" s="20">
        <f>W41/W4*(-1)</f>
        <v>-9.3559745555656285E-2</v>
      </c>
      <c r="X42" s="12"/>
      <c r="Y42" s="19"/>
      <c r="Z42" s="33" t="s">
        <v>31</v>
      </c>
      <c r="AA42" s="38">
        <f>AA41/AA4*(-1)</f>
        <v>-9.3559745555656285E-2</v>
      </c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1:51">
      <c r="A43" s="12"/>
      <c r="B43" s="12"/>
      <c r="C43" s="32"/>
      <c r="D43" s="12"/>
      <c r="E43" s="33"/>
      <c r="F43" s="33"/>
      <c r="G43" s="12"/>
      <c r="H43" s="12"/>
      <c r="I43" s="69"/>
      <c r="J43" s="45"/>
      <c r="K43" s="45"/>
      <c r="L43" s="45"/>
      <c r="M43" s="58"/>
      <c r="N43" s="12"/>
      <c r="O43" s="69"/>
      <c r="P43" s="45"/>
      <c r="Q43" s="45"/>
      <c r="R43" s="45"/>
      <c r="S43" s="58"/>
      <c r="T43" s="12"/>
      <c r="U43" s="12"/>
      <c r="V43" s="12"/>
      <c r="W43" s="12"/>
      <c r="X43" s="12"/>
      <c r="Y43" s="19"/>
      <c r="Z43" s="33"/>
      <c r="AA43" s="19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1:51">
      <c r="A44" s="12"/>
      <c r="B44" s="12" t="s">
        <v>68</v>
      </c>
      <c r="C44" s="32">
        <f>C35-C37-C39-(SUM(C40:C42))</f>
        <v>392521.61748000002</v>
      </c>
      <c r="D44" s="31"/>
      <c r="E44" s="31"/>
      <c r="F44" s="31"/>
      <c r="G44" s="119"/>
      <c r="H44" s="29"/>
      <c r="I44" s="70"/>
      <c r="J44" s="53"/>
      <c r="K44" s="53"/>
      <c r="L44" s="53"/>
      <c r="M44" s="71"/>
      <c r="N44" s="83"/>
      <c r="O44" s="70"/>
      <c r="P44" s="53"/>
      <c r="Q44" s="53"/>
      <c r="R44" s="53"/>
      <c r="S44" s="71"/>
      <c r="T44" s="29"/>
      <c r="U44" s="12"/>
      <c r="V44" s="12" t="s">
        <v>101</v>
      </c>
      <c r="W44" s="124">
        <f>W31/W25</f>
        <v>7.4433042149024825E-2</v>
      </c>
      <c r="X44" s="12"/>
      <c r="Y44" s="33"/>
      <c r="Z44" s="33"/>
      <c r="AA44" s="19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1:51">
      <c r="A45" s="12"/>
      <c r="B45" s="12"/>
      <c r="C45" s="12"/>
      <c r="D45" s="31"/>
      <c r="E45" s="31"/>
      <c r="F45" s="12"/>
      <c r="G45" s="12"/>
      <c r="H45" s="29"/>
      <c r="I45" s="70"/>
      <c r="J45" s="53"/>
      <c r="K45" s="53"/>
      <c r="L45" s="53"/>
      <c r="M45" s="71"/>
      <c r="N45" s="83"/>
      <c r="O45" s="70"/>
      <c r="P45" s="53"/>
      <c r="Q45" s="53"/>
      <c r="R45" s="53"/>
      <c r="S45" s="71"/>
      <c r="T45" s="29"/>
      <c r="U45" s="12"/>
      <c r="V45" s="30"/>
      <c r="W45" s="31"/>
      <c r="X45" s="31"/>
      <c r="Y45" s="31"/>
      <c r="Z45" s="31"/>
      <c r="AA45" s="42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</row>
    <row r="46" spans="1:51">
      <c r="A46" s="12"/>
      <c r="B46" s="28"/>
      <c r="C46" s="94"/>
      <c r="D46" s="12"/>
      <c r="E46" s="12"/>
      <c r="F46" s="12"/>
      <c r="G46" s="12"/>
      <c r="H46" s="12"/>
      <c r="I46" s="69"/>
      <c r="J46" s="45"/>
      <c r="K46" s="45"/>
      <c r="L46" s="45"/>
      <c r="M46" s="58"/>
      <c r="N46" s="12"/>
      <c r="O46" s="69"/>
      <c r="P46" s="45"/>
      <c r="Q46" s="45"/>
      <c r="R46" s="45"/>
      <c r="S46" s="58"/>
      <c r="T46" s="12"/>
      <c r="U46" s="12"/>
      <c r="V46" s="12"/>
      <c r="W46" s="12"/>
      <c r="X46" s="31"/>
      <c r="Y46" s="31"/>
      <c r="Z46" s="12"/>
      <c r="AA46" s="1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</row>
    <row r="47" spans="1:51">
      <c r="A47" s="12"/>
      <c r="B47" s="554" t="s">
        <v>76</v>
      </c>
      <c r="C47" s="554"/>
      <c r="D47" s="12"/>
      <c r="E47" s="12"/>
      <c r="F47" s="12"/>
      <c r="G47" s="12"/>
      <c r="H47" s="12"/>
      <c r="I47" s="69"/>
      <c r="J47" s="45"/>
      <c r="K47" s="45"/>
      <c r="L47" s="45"/>
      <c r="M47" s="58"/>
      <c r="N47" s="12"/>
      <c r="O47" s="69"/>
      <c r="P47" s="45"/>
      <c r="Q47" s="45"/>
      <c r="R47" s="45"/>
      <c r="S47" s="58"/>
      <c r="T47" s="12"/>
      <c r="U47" s="12"/>
      <c r="V47" s="12"/>
      <c r="W47" s="12"/>
      <c r="X47" s="12"/>
      <c r="Y47" s="12"/>
      <c r="Z47" s="12"/>
      <c r="AA47" s="19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1:51">
      <c r="A48" s="12"/>
      <c r="B48" s="12"/>
      <c r="C48" s="32"/>
      <c r="D48" s="12"/>
      <c r="E48" s="12"/>
      <c r="F48" s="12"/>
      <c r="G48" s="12"/>
      <c r="H48" s="12"/>
      <c r="I48" s="69"/>
      <c r="J48" s="45"/>
      <c r="K48" s="45"/>
      <c r="L48" s="45"/>
      <c r="M48" s="58"/>
      <c r="N48" s="12"/>
      <c r="O48" s="69"/>
      <c r="P48" s="45"/>
      <c r="Q48" s="45"/>
      <c r="R48" s="45"/>
      <c r="S48" s="58"/>
      <c r="T48" s="12"/>
      <c r="U48" s="12"/>
      <c r="V48" s="12"/>
      <c r="W48" s="12"/>
      <c r="X48" s="12"/>
      <c r="Y48" s="12"/>
      <c r="Z48" s="12"/>
      <c r="AA48" s="19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1:51">
      <c r="A49" s="12"/>
      <c r="B49" s="12" t="s">
        <v>75</v>
      </c>
      <c r="C49" s="32">
        <v>200000000</v>
      </c>
      <c r="D49" s="12"/>
      <c r="E49" s="12"/>
      <c r="F49" s="12"/>
      <c r="G49" s="12"/>
      <c r="H49" s="12"/>
      <c r="I49" s="69"/>
      <c r="J49" s="45"/>
      <c r="K49" s="45"/>
      <c r="L49" s="45"/>
      <c r="M49" s="58"/>
      <c r="N49" s="12"/>
      <c r="O49" s="69"/>
      <c r="P49" s="45"/>
      <c r="Q49" s="45"/>
      <c r="R49" s="45"/>
      <c r="S49" s="58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1:51">
      <c r="A50" s="12"/>
      <c r="B50" s="12" t="s">
        <v>77</v>
      </c>
      <c r="C50" s="107">
        <f>C49/C35</f>
        <v>94.781070879865112</v>
      </c>
      <c r="D50" s="12"/>
      <c r="E50" s="12"/>
      <c r="F50" s="12"/>
      <c r="G50" s="12"/>
      <c r="H50" s="12"/>
      <c r="I50" s="69"/>
      <c r="J50" s="45"/>
      <c r="K50" s="45"/>
      <c r="L50" s="45"/>
      <c r="M50" s="58"/>
      <c r="N50" s="12"/>
      <c r="O50" s="69"/>
      <c r="P50" s="45"/>
      <c r="Q50" s="45"/>
      <c r="R50" s="45"/>
      <c r="S50" s="58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1:51">
      <c r="A51" s="12"/>
      <c r="B51" s="12"/>
      <c r="C51" s="12"/>
      <c r="D51" s="12"/>
      <c r="E51" s="12"/>
      <c r="F51" s="12"/>
      <c r="G51" s="12"/>
      <c r="H51" s="12"/>
      <c r="I51" s="69"/>
      <c r="J51" s="45"/>
      <c r="K51" s="45"/>
      <c r="L51" s="45"/>
      <c r="M51" s="58"/>
      <c r="N51" s="12"/>
      <c r="O51" s="69"/>
      <c r="P51" s="45"/>
      <c r="Q51" s="45"/>
      <c r="R51" s="45"/>
      <c r="S51" s="58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1:51">
      <c r="A52" s="12"/>
      <c r="B52" s="12"/>
      <c r="C52" s="108"/>
      <c r="D52" s="12"/>
      <c r="E52" s="12"/>
      <c r="F52" s="12"/>
      <c r="G52" s="12"/>
      <c r="H52" s="12"/>
      <c r="I52" s="69"/>
      <c r="J52" s="45"/>
      <c r="K52" s="45"/>
      <c r="L52" s="45"/>
      <c r="M52" s="58"/>
      <c r="N52" s="12"/>
      <c r="O52" s="69"/>
      <c r="P52" s="45"/>
      <c r="Q52" s="45"/>
      <c r="R52" s="45"/>
      <c r="S52" s="58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1:51">
      <c r="A53" s="12"/>
      <c r="B53" s="12"/>
      <c r="C53" s="107"/>
      <c r="D53" s="12"/>
      <c r="E53" s="12"/>
      <c r="F53" s="12"/>
      <c r="G53" s="12"/>
      <c r="H53" s="12"/>
      <c r="I53" s="69"/>
      <c r="J53" s="45"/>
      <c r="K53" s="45"/>
      <c r="L53" s="45"/>
      <c r="M53" s="58"/>
      <c r="N53" s="12"/>
      <c r="O53" s="69"/>
      <c r="P53" s="45"/>
      <c r="Q53" s="45"/>
      <c r="R53" s="45"/>
      <c r="S53" s="58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1:51">
      <c r="A54" s="12"/>
      <c r="B54" s="12"/>
      <c r="C54" s="12"/>
      <c r="D54" s="12"/>
      <c r="E54" s="12"/>
      <c r="F54" s="12"/>
      <c r="G54" s="12"/>
      <c r="H54" s="12"/>
      <c r="I54" s="69"/>
      <c r="J54" s="45"/>
      <c r="K54" s="45"/>
      <c r="L54" s="45"/>
      <c r="M54" s="58"/>
      <c r="N54" s="12"/>
      <c r="O54" s="69"/>
      <c r="P54" s="45"/>
      <c r="Q54" s="45"/>
      <c r="R54" s="45"/>
      <c r="S54" s="58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1:51">
      <c r="A55" s="12"/>
      <c r="B55" s="12"/>
      <c r="C55" s="12"/>
      <c r="D55" s="12"/>
      <c r="E55" s="12"/>
      <c r="F55" s="12"/>
      <c r="G55" s="12"/>
      <c r="H55" s="12"/>
      <c r="I55" s="69"/>
      <c r="J55" s="45"/>
      <c r="K55" s="45"/>
      <c r="L55" s="45"/>
      <c r="M55" s="58"/>
      <c r="N55" s="12"/>
      <c r="O55" s="69"/>
      <c r="P55" s="45"/>
      <c r="Q55" s="45"/>
      <c r="R55" s="45"/>
      <c r="S55" s="58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1:51">
      <c r="A56" s="12"/>
      <c r="B56" s="12"/>
      <c r="C56" s="12"/>
      <c r="D56" s="12"/>
      <c r="E56" s="12"/>
      <c r="F56" s="12"/>
      <c r="G56" s="12"/>
      <c r="H56" s="12"/>
      <c r="I56" s="69"/>
      <c r="J56" s="45"/>
      <c r="K56" s="45"/>
      <c r="L56" s="45"/>
      <c r="M56" s="58"/>
      <c r="N56" s="12"/>
      <c r="O56" s="69"/>
      <c r="P56" s="45"/>
      <c r="Q56" s="45"/>
      <c r="R56" s="45"/>
      <c r="S56" s="58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1:51">
      <c r="A57" s="12"/>
      <c r="B57" s="12"/>
      <c r="C57" s="12"/>
      <c r="D57" s="12"/>
      <c r="E57" s="12"/>
      <c r="F57" s="12"/>
      <c r="G57" s="12"/>
      <c r="H57" s="12"/>
      <c r="I57" s="69"/>
      <c r="J57" s="45"/>
      <c r="K57" s="45"/>
      <c r="L57" s="45"/>
      <c r="M57" s="58"/>
      <c r="N57" s="12"/>
      <c r="O57" s="69"/>
      <c r="P57" s="45"/>
      <c r="Q57" s="45"/>
      <c r="R57" s="45"/>
      <c r="S57" s="58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1:51">
      <c r="A58" s="12"/>
      <c r="B58" s="12"/>
      <c r="C58" s="12"/>
      <c r="D58" s="12"/>
      <c r="E58" s="12"/>
      <c r="F58" s="12"/>
      <c r="G58" s="12"/>
      <c r="H58" s="12"/>
      <c r="I58" s="69"/>
      <c r="J58" s="45"/>
      <c r="K58" s="45"/>
      <c r="L58" s="45"/>
      <c r="M58" s="58"/>
      <c r="N58" s="12"/>
      <c r="O58" s="69"/>
      <c r="P58" s="45"/>
      <c r="Q58" s="45"/>
      <c r="R58" s="45"/>
      <c r="S58" s="58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1:51">
      <c r="A59" s="12"/>
      <c r="B59" s="12"/>
      <c r="C59" s="12"/>
      <c r="D59" s="12"/>
      <c r="E59" s="12"/>
      <c r="F59" s="12"/>
      <c r="G59" s="12"/>
      <c r="H59" s="12"/>
      <c r="I59" s="69"/>
      <c r="J59" s="45"/>
      <c r="K59" s="45"/>
      <c r="L59" s="45"/>
      <c r="M59" s="58"/>
      <c r="N59" s="12"/>
      <c r="O59" s="69"/>
      <c r="P59" s="45"/>
      <c r="Q59" s="45"/>
      <c r="R59" s="45"/>
      <c r="S59" s="58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1:51">
      <c r="A60" s="12"/>
      <c r="B60" s="12"/>
      <c r="C60" s="12"/>
      <c r="D60" s="12"/>
      <c r="E60" s="12"/>
      <c r="F60" s="12"/>
      <c r="G60" s="12"/>
      <c r="H60" s="12"/>
      <c r="I60" s="69"/>
      <c r="J60" s="45"/>
      <c r="K60" s="45"/>
      <c r="L60" s="45"/>
      <c r="M60" s="58"/>
      <c r="N60" s="12"/>
      <c r="O60" s="69"/>
      <c r="P60" s="45"/>
      <c r="Q60" s="45"/>
      <c r="R60" s="45"/>
      <c r="S60" s="58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1:51">
      <c r="A61" s="12"/>
      <c r="B61" s="12"/>
      <c r="C61" s="12"/>
      <c r="D61" s="12"/>
      <c r="E61" s="12"/>
      <c r="F61" s="12"/>
      <c r="G61" s="12"/>
      <c r="H61" s="12"/>
      <c r="I61" s="69"/>
      <c r="J61" s="45"/>
      <c r="K61" s="45"/>
      <c r="L61" s="45"/>
      <c r="M61" s="58"/>
      <c r="N61" s="12"/>
      <c r="O61" s="69"/>
      <c r="P61" s="45"/>
      <c r="Q61" s="45"/>
      <c r="R61" s="45"/>
      <c r="S61" s="58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1:51">
      <c r="A62" s="12"/>
      <c r="B62" s="12"/>
      <c r="C62" s="12"/>
      <c r="D62" s="12"/>
      <c r="E62" s="12"/>
      <c r="F62" s="12"/>
      <c r="G62" s="12"/>
      <c r="H62" s="12"/>
      <c r="I62" s="69"/>
      <c r="J62" s="45"/>
      <c r="K62" s="45"/>
      <c r="L62" s="45"/>
      <c r="M62" s="58"/>
      <c r="N62" s="12"/>
      <c r="O62" s="69"/>
      <c r="P62" s="45"/>
      <c r="Q62" s="45"/>
      <c r="R62" s="45"/>
      <c r="S62" s="58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1:51">
      <c r="A63" s="12"/>
      <c r="B63" s="12"/>
      <c r="C63" s="12"/>
      <c r="D63" s="12"/>
      <c r="E63" s="12"/>
      <c r="F63" s="12"/>
      <c r="G63" s="12"/>
      <c r="H63" s="12"/>
      <c r="I63" s="69"/>
      <c r="J63" s="45"/>
      <c r="K63" s="45"/>
      <c r="L63" s="45"/>
      <c r="M63" s="58"/>
      <c r="N63" s="12"/>
      <c r="O63" s="69"/>
      <c r="P63" s="45"/>
      <c r="Q63" s="45"/>
      <c r="R63" s="45"/>
      <c r="S63" s="58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1:51">
      <c r="A64" s="12"/>
      <c r="B64" s="12"/>
      <c r="C64" s="12"/>
      <c r="D64" s="12"/>
      <c r="E64" s="12"/>
      <c r="F64" s="12"/>
      <c r="G64" s="12"/>
      <c r="H64" s="12"/>
      <c r="I64" s="69"/>
      <c r="J64" s="45"/>
      <c r="K64" s="45"/>
      <c r="L64" s="45"/>
      <c r="M64" s="58"/>
      <c r="N64" s="12"/>
      <c r="O64" s="69"/>
      <c r="P64" s="45"/>
      <c r="Q64" s="45"/>
      <c r="R64" s="45"/>
      <c r="S64" s="58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1:51">
      <c r="A65" s="12"/>
      <c r="B65" s="12"/>
      <c r="C65" s="12"/>
      <c r="D65" s="12"/>
      <c r="E65" s="12"/>
      <c r="F65" s="12"/>
      <c r="G65" s="12"/>
      <c r="H65" s="12"/>
      <c r="I65" s="69"/>
      <c r="J65" s="45"/>
      <c r="K65" s="45"/>
      <c r="L65" s="45"/>
      <c r="M65" s="58"/>
      <c r="N65" s="12"/>
      <c r="O65" s="69"/>
      <c r="P65" s="45"/>
      <c r="Q65" s="45"/>
      <c r="R65" s="45"/>
      <c r="S65" s="58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1:51">
      <c r="A66" s="12"/>
      <c r="B66" s="12"/>
      <c r="C66" s="12"/>
      <c r="D66" s="12"/>
      <c r="E66" s="12"/>
      <c r="F66" s="12"/>
      <c r="G66" s="12"/>
      <c r="H66" s="12"/>
      <c r="I66" s="69"/>
      <c r="J66" s="45"/>
      <c r="K66" s="45"/>
      <c r="L66" s="45"/>
      <c r="M66" s="58"/>
      <c r="N66" s="12"/>
      <c r="O66" s="69"/>
      <c r="P66" s="45"/>
      <c r="Q66" s="45"/>
      <c r="R66" s="45"/>
      <c r="S66" s="58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1:51">
      <c r="A67" s="12"/>
      <c r="B67" s="12"/>
      <c r="C67" s="12"/>
      <c r="D67" s="12"/>
      <c r="E67" s="12"/>
      <c r="F67" s="12"/>
      <c r="G67" s="12"/>
      <c r="H67" s="12"/>
      <c r="I67" s="69"/>
      <c r="J67" s="45"/>
      <c r="K67" s="45"/>
      <c r="L67" s="45"/>
      <c r="M67" s="58"/>
      <c r="N67" s="12"/>
      <c r="O67" s="69"/>
      <c r="P67" s="45"/>
      <c r="Q67" s="45"/>
      <c r="R67" s="45"/>
      <c r="S67" s="58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1:51">
      <c r="A68" s="12"/>
      <c r="B68" s="12"/>
      <c r="C68" s="12"/>
      <c r="D68" s="12"/>
      <c r="E68" s="12"/>
      <c r="F68" s="12"/>
      <c r="G68" s="12"/>
      <c r="H68" s="12"/>
      <c r="I68" s="69"/>
      <c r="J68" s="45"/>
      <c r="K68" s="45"/>
      <c r="L68" s="45"/>
      <c r="M68" s="58"/>
      <c r="N68" s="12"/>
      <c r="O68" s="69"/>
      <c r="P68" s="45"/>
      <c r="Q68" s="45"/>
      <c r="R68" s="45"/>
      <c r="S68" s="58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1:51">
      <c r="A69" s="12"/>
      <c r="B69" s="12"/>
      <c r="C69" s="12"/>
      <c r="D69" s="12"/>
      <c r="E69" s="12"/>
      <c r="F69" s="12"/>
      <c r="G69" s="12"/>
      <c r="H69" s="12"/>
      <c r="I69" s="69"/>
      <c r="J69" s="45"/>
      <c r="K69" s="45"/>
      <c r="L69" s="45"/>
      <c r="M69" s="58"/>
      <c r="N69" s="12"/>
      <c r="O69" s="69"/>
      <c r="P69" s="45"/>
      <c r="Q69" s="45"/>
      <c r="R69" s="45"/>
      <c r="S69" s="58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1:51">
      <c r="A70" s="12"/>
      <c r="B70" s="12"/>
      <c r="C70" s="12"/>
      <c r="D70" s="12"/>
      <c r="E70" s="12"/>
      <c r="F70" s="12"/>
      <c r="G70" s="12"/>
      <c r="H70" s="12"/>
      <c r="I70" s="69"/>
      <c r="J70" s="45"/>
      <c r="K70" s="45"/>
      <c r="L70" s="45"/>
      <c r="M70" s="58"/>
      <c r="N70" s="12"/>
      <c r="O70" s="69"/>
      <c r="P70" s="45"/>
      <c r="Q70" s="45"/>
      <c r="R70" s="45"/>
      <c r="S70" s="58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1:51">
      <c r="A71" s="12"/>
      <c r="B71" s="12"/>
      <c r="C71" s="12"/>
      <c r="D71" s="12"/>
      <c r="E71" s="12"/>
      <c r="F71" s="12"/>
      <c r="G71" s="12"/>
      <c r="H71" s="12"/>
      <c r="I71" s="69"/>
      <c r="J71" s="45"/>
      <c r="K71" s="45"/>
      <c r="L71" s="45"/>
      <c r="M71" s="58"/>
      <c r="N71" s="12"/>
      <c r="O71" s="69"/>
      <c r="P71" s="45"/>
      <c r="Q71" s="45"/>
      <c r="R71" s="45"/>
      <c r="S71" s="58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1:51">
      <c r="A72" s="12"/>
      <c r="B72" s="12"/>
      <c r="C72" s="12"/>
      <c r="D72" s="12"/>
      <c r="E72" s="12"/>
      <c r="F72" s="12"/>
      <c r="G72" s="12"/>
      <c r="H72" s="12"/>
      <c r="I72" s="69"/>
      <c r="J72" s="45"/>
      <c r="K72" s="45"/>
      <c r="L72" s="45"/>
      <c r="M72" s="58"/>
      <c r="N72" s="12"/>
      <c r="O72" s="69"/>
      <c r="P72" s="45"/>
      <c r="Q72" s="45"/>
      <c r="R72" s="45"/>
      <c r="S72" s="58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1:51"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</sheetData>
  <mergeCells count="11">
    <mergeCell ref="X7:Y7"/>
    <mergeCell ref="B2:C2"/>
    <mergeCell ref="J2:L2"/>
    <mergeCell ref="P2:R2"/>
    <mergeCell ref="V2:W2"/>
    <mergeCell ref="D7:F7"/>
    <mergeCell ref="B31:C31"/>
    <mergeCell ref="J31:K31"/>
    <mergeCell ref="P31:Q31"/>
    <mergeCell ref="V35:W35"/>
    <mergeCell ref="B47:C47"/>
  </mergeCells>
  <dataValidations count="1">
    <dataValidation type="list" allowBlank="1" showInputMessage="1" showErrorMessage="1" sqref="W10 AA10" xr:uid="{04028969-98C3-4BDF-BB51-73DF149F1466}">
      <formula1>"Да,Нет"</formula1>
    </dataValidation>
  </dataValidations>
  <pageMargins left="0.7" right="0.7" top="0.75" bottom="0.75" header="0.3" footer="0.3"/>
  <pageSetup paperSize="9" scale="76" orientation="portrait" r:id="rId1"/>
  <colBreaks count="1" manualBreakCount="1">
    <brk id="7" max="1048575" man="1"/>
  </col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7ED1E-F8C5-4F56-A4FE-416C5445873E}">
  <dimension ref="A1:AO73"/>
  <sheetViews>
    <sheetView zoomScale="85" zoomScaleNormal="85" workbookViewId="0">
      <selection activeCell="C29" sqref="C29"/>
    </sheetView>
  </sheetViews>
  <sheetFormatPr defaultRowHeight="15" outlineLevelRow="1" outlineLevelCol="1"/>
  <cols>
    <col min="1" max="1" width="11" customWidth="1"/>
    <col min="2" max="2" width="52" customWidth="1"/>
    <col min="3" max="3" width="25.5703125" customWidth="1"/>
    <col min="4" max="4" width="20.5703125" customWidth="1"/>
    <col min="5" max="5" width="8.42578125" style="74" customWidth="1" outlineLevel="1"/>
    <col min="6" max="6" width="54" style="54" customWidth="1" outlineLevel="1"/>
    <col min="7" max="7" width="35.42578125" customWidth="1" outlineLevel="1"/>
    <col min="8" max="8" width="19.5703125" style="54" customWidth="1" outlineLevel="1"/>
    <col min="9" max="9" width="11.42578125" style="75" customWidth="1" outlineLevel="1"/>
    <col min="10" max="10" width="25.5703125" style="35" customWidth="1"/>
    <col min="11" max="11" width="5.42578125" customWidth="1"/>
    <col min="12" max="12" width="52" customWidth="1"/>
    <col min="13" max="13" width="25.5703125" customWidth="1"/>
    <col min="14" max="14" width="19.5703125" bestFit="1" customWidth="1"/>
    <col min="16" max="16" width="1.42578125" customWidth="1"/>
    <col min="17" max="17" width="18.42578125" style="35" customWidth="1"/>
    <col min="18" max="41" width="23.5703125" customWidth="1"/>
  </cols>
  <sheetData>
    <row r="1" spans="1:41">
      <c r="A1" s="12"/>
      <c r="B1" s="12"/>
      <c r="C1" s="12"/>
      <c r="D1" s="12"/>
      <c r="E1" s="72"/>
      <c r="F1" s="56"/>
      <c r="G1" s="56"/>
      <c r="H1" s="76"/>
      <c r="I1" s="58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ht="51.75" customHeight="1">
      <c r="A2" s="12"/>
      <c r="B2" s="555" t="s">
        <v>48</v>
      </c>
      <c r="C2" s="556"/>
      <c r="D2" s="28"/>
      <c r="E2" s="73"/>
      <c r="F2" s="524" t="s">
        <v>98</v>
      </c>
      <c r="G2" s="524"/>
      <c r="H2" s="524"/>
      <c r="I2" s="58"/>
      <c r="J2" s="28"/>
      <c r="K2" s="12"/>
      <c r="L2" s="559" t="s">
        <v>85</v>
      </c>
      <c r="M2" s="559"/>
      <c r="N2" s="12"/>
      <c r="O2" s="33"/>
      <c r="P2" s="33" t="s">
        <v>86</v>
      </c>
      <c r="Q2" s="12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</row>
    <row r="3" spans="1:41">
      <c r="A3" s="12"/>
      <c r="B3" s="12"/>
      <c r="C3" s="12"/>
      <c r="D3" s="12"/>
      <c r="E3" s="69"/>
      <c r="F3" s="46"/>
      <c r="G3" s="55"/>
      <c r="H3" s="45"/>
      <c r="I3" s="58"/>
      <c r="J3" s="12"/>
      <c r="K3" s="12"/>
      <c r="L3" s="12"/>
      <c r="M3" s="12"/>
      <c r="N3" s="12"/>
      <c r="O3" s="33"/>
      <c r="P3" s="33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>
      <c r="A4" s="12"/>
      <c r="B4" s="12" t="s">
        <v>11</v>
      </c>
      <c r="C4" s="13">
        <v>15000000</v>
      </c>
      <c r="D4" s="12"/>
      <c r="E4" s="69"/>
      <c r="F4" s="46" t="s">
        <v>11</v>
      </c>
      <c r="G4" s="59">
        <f>C4</f>
        <v>15000000</v>
      </c>
      <c r="H4" s="45"/>
      <c r="I4" s="58"/>
      <c r="J4" s="12"/>
      <c r="K4" s="12"/>
      <c r="L4" s="12" t="s">
        <v>11</v>
      </c>
      <c r="M4" s="13">
        <f>C4</f>
        <v>15000000</v>
      </c>
      <c r="N4" s="12"/>
      <c r="O4" s="33"/>
      <c r="P4" s="33" t="s">
        <v>11</v>
      </c>
      <c r="Q4" s="36">
        <f>M4</f>
        <v>15000000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>
      <c r="A5" s="12"/>
      <c r="B5" s="12" t="s">
        <v>12</v>
      </c>
      <c r="C5" s="52"/>
      <c r="D5" s="12"/>
      <c r="E5" s="69"/>
      <c r="F5" s="46" t="s">
        <v>12</v>
      </c>
      <c r="G5" s="78">
        <f>$C$5</f>
        <v>0</v>
      </c>
      <c r="H5" s="45"/>
      <c r="I5" s="58"/>
      <c r="J5" s="12"/>
      <c r="K5" s="12"/>
      <c r="L5" s="12" t="s">
        <v>12</v>
      </c>
      <c r="M5" s="52"/>
      <c r="N5" s="12" t="s">
        <v>47</v>
      </c>
      <c r="O5" s="33"/>
      <c r="P5" s="33" t="s">
        <v>12</v>
      </c>
      <c r="Q5" s="19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s="105" customFormat="1" ht="31.5">
      <c r="A6" s="30"/>
      <c r="B6" s="30" t="s">
        <v>13</v>
      </c>
      <c r="C6" s="14">
        <v>0.15</v>
      </c>
      <c r="D6" s="100" t="s">
        <v>73</v>
      </c>
      <c r="E6" s="102"/>
      <c r="F6" s="49" t="s">
        <v>13</v>
      </c>
      <c r="G6" s="79">
        <f>$C$6</f>
        <v>0.15</v>
      </c>
      <c r="H6" s="103" t="s">
        <v>72</v>
      </c>
      <c r="I6" s="104"/>
      <c r="J6" s="30"/>
      <c r="K6" s="12"/>
      <c r="L6" s="12" t="s">
        <v>13</v>
      </c>
      <c r="M6" s="14">
        <f>C6</f>
        <v>0.15</v>
      </c>
      <c r="N6" s="12"/>
      <c r="O6" s="33"/>
      <c r="P6" s="33" t="s">
        <v>13</v>
      </c>
      <c r="Q6" s="111">
        <f>M6</f>
        <v>0.15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 t="s">
        <v>43</v>
      </c>
      <c r="C7" s="15">
        <v>0.15</v>
      </c>
      <c r="D7" s="12"/>
      <c r="E7" s="69"/>
      <c r="F7" s="46" t="s">
        <v>43</v>
      </c>
      <c r="G7" s="80">
        <f>$C$7</f>
        <v>0.15</v>
      </c>
      <c r="H7" s="45"/>
      <c r="I7" s="58"/>
      <c r="J7" s="12"/>
      <c r="K7" s="12"/>
      <c r="L7" s="12" t="s">
        <v>43</v>
      </c>
      <c r="M7" s="15">
        <v>0.15</v>
      </c>
      <c r="N7" s="557" t="s">
        <v>44</v>
      </c>
      <c r="O7" s="558"/>
      <c r="P7" s="33"/>
      <c r="Q7" s="34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>
      <c r="A8" s="12"/>
      <c r="B8" s="12" t="s">
        <v>15</v>
      </c>
      <c r="C8" s="16">
        <v>360</v>
      </c>
      <c r="D8" s="12"/>
      <c r="E8" s="69"/>
      <c r="F8" s="46" t="s">
        <v>15</v>
      </c>
      <c r="G8" s="81">
        <f>$C$8</f>
        <v>360</v>
      </c>
      <c r="H8" s="77"/>
      <c r="I8" s="60"/>
      <c r="J8" s="12"/>
      <c r="K8" s="12"/>
      <c r="L8" s="12" t="s">
        <v>15</v>
      </c>
      <c r="M8" s="16">
        <v>360</v>
      </c>
      <c r="N8" s="12"/>
      <c r="O8" s="33"/>
      <c r="P8" s="33" t="s">
        <v>15</v>
      </c>
      <c r="Q8" s="37">
        <f>M8</f>
        <v>360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</row>
    <row r="9" spans="1:41">
      <c r="A9" s="12"/>
      <c r="B9" s="12" t="s">
        <v>19</v>
      </c>
      <c r="C9" s="14">
        <v>6.7000000000000004E-2</v>
      </c>
      <c r="D9" s="19"/>
      <c r="E9" s="57"/>
      <c r="F9" s="46" t="s">
        <v>19</v>
      </c>
      <c r="G9" s="82">
        <f>$C$9</f>
        <v>6.7000000000000004E-2</v>
      </c>
      <c r="H9" s="45"/>
      <c r="I9" s="58"/>
      <c r="J9" s="12"/>
      <c r="K9" s="12"/>
      <c r="L9" s="12" t="s">
        <v>16</v>
      </c>
      <c r="M9" s="17">
        <v>0</v>
      </c>
      <c r="N9" s="12"/>
      <c r="O9" s="33"/>
      <c r="P9" s="33" t="s">
        <v>16</v>
      </c>
      <c r="Q9" s="37">
        <f>M9</f>
        <v>0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</row>
    <row r="10" spans="1:41">
      <c r="A10" s="12"/>
      <c r="B10" s="12"/>
      <c r="C10" s="12"/>
      <c r="D10" s="19"/>
      <c r="E10" s="57"/>
      <c r="F10" s="46"/>
      <c r="G10" s="82"/>
      <c r="H10" s="45"/>
      <c r="I10" s="58"/>
      <c r="J10" s="12"/>
      <c r="K10" s="12"/>
      <c r="L10" s="12" t="s">
        <v>17</v>
      </c>
      <c r="M10" s="18" t="s">
        <v>18</v>
      </c>
      <c r="N10" s="12"/>
      <c r="O10" s="33"/>
      <c r="P10" s="33" t="s">
        <v>17</v>
      </c>
      <c r="Q10" s="37" t="str">
        <f>M10</f>
        <v>Нет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</row>
    <row r="11" spans="1:41">
      <c r="A11" s="12"/>
      <c r="B11" s="30" t="s">
        <v>80</v>
      </c>
      <c r="C11" s="99">
        <v>0.03</v>
      </c>
      <c r="D11" s="98"/>
      <c r="E11" s="57"/>
      <c r="F11" s="46"/>
      <c r="G11" s="82"/>
      <c r="H11" s="45"/>
      <c r="I11" s="58"/>
      <c r="J11" s="12"/>
      <c r="K11" s="12"/>
      <c r="L11" s="12" t="s">
        <v>19</v>
      </c>
      <c r="M11" s="14">
        <f>C9</f>
        <v>6.7000000000000004E-2</v>
      </c>
      <c r="N11" s="12"/>
      <c r="O11" s="19"/>
      <c r="P11" s="33" t="s">
        <v>19</v>
      </c>
      <c r="Q11" s="38">
        <f>M11</f>
        <v>6.7000000000000004E-2</v>
      </c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</row>
    <row r="12" spans="1:41" ht="36.75" customHeight="1">
      <c r="A12" s="12"/>
      <c r="B12" s="44" t="s">
        <v>78</v>
      </c>
      <c r="C12" s="106">
        <v>0.03</v>
      </c>
      <c r="D12" s="100"/>
      <c r="E12" s="57"/>
      <c r="F12" s="46"/>
      <c r="G12" s="82"/>
      <c r="H12" s="45"/>
      <c r="I12" s="58"/>
      <c r="J12" s="12"/>
      <c r="K12" s="12"/>
      <c r="L12" s="12" t="s">
        <v>87</v>
      </c>
      <c r="M12" s="52">
        <v>12</v>
      </c>
      <c r="N12" s="12"/>
      <c r="O12" s="19"/>
      <c r="P12" s="33" t="s">
        <v>87</v>
      </c>
      <c r="Q12" s="37">
        <f>M12</f>
        <v>12</v>
      </c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</row>
    <row r="13" spans="1:41">
      <c r="A13" s="12"/>
      <c r="B13" s="12" t="s">
        <v>81</v>
      </c>
      <c r="C13" s="22">
        <f>C4*(100%-C6)</f>
        <v>12750000</v>
      </c>
      <c r="D13" s="19"/>
      <c r="E13" s="57"/>
      <c r="F13" s="46"/>
      <c r="G13" s="82"/>
      <c r="H13" s="45"/>
      <c r="I13" s="58"/>
      <c r="J13" s="12"/>
      <c r="K13" s="12"/>
      <c r="L13" s="12"/>
      <c r="M13" s="12"/>
      <c r="N13" s="12"/>
      <c r="O13" s="19"/>
      <c r="P13" s="33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</row>
    <row r="14" spans="1:41">
      <c r="A14" s="12"/>
      <c r="B14" s="12" t="s">
        <v>82</v>
      </c>
      <c r="C14" s="22">
        <f>C4*(100%-C6)*(100%-C11)*(100%-C12)</f>
        <v>11996475</v>
      </c>
      <c r="D14" s="19"/>
      <c r="E14" s="57"/>
      <c r="F14" s="46"/>
      <c r="G14" s="82"/>
      <c r="H14" s="45"/>
      <c r="I14" s="58"/>
      <c r="J14" s="12"/>
      <c r="K14" s="12"/>
      <c r="L14" s="12" t="s">
        <v>88</v>
      </c>
      <c r="M14" s="19"/>
      <c r="N14" s="12"/>
      <c r="O14" s="19"/>
      <c r="P14" s="33" t="s">
        <v>88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</row>
    <row r="15" spans="1:41">
      <c r="A15" s="12"/>
      <c r="B15" s="12"/>
      <c r="C15" s="22"/>
      <c r="D15" s="88"/>
      <c r="E15" s="57"/>
      <c r="F15" s="46" t="s">
        <v>51</v>
      </c>
      <c r="G15" s="47">
        <f>G4*(100%-G6)*(100%-G7)</f>
        <v>10837500</v>
      </c>
      <c r="H15" s="47"/>
      <c r="I15" s="61"/>
      <c r="J15" s="12"/>
      <c r="K15" s="12"/>
      <c r="L15" s="12" t="s">
        <v>89</v>
      </c>
      <c r="M15" s="22">
        <f>M4*(100%-M6)*(100%-M7)</f>
        <v>10837500</v>
      </c>
      <c r="N15" s="12"/>
      <c r="O15" s="19"/>
      <c r="P15" s="33" t="s">
        <v>89</v>
      </c>
      <c r="Q15" s="19">
        <f>Q4*(100%-Q6)-Q7</f>
        <v>12750000</v>
      </c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</row>
    <row r="16" spans="1:41">
      <c r="A16" s="12"/>
      <c r="B16" s="12"/>
      <c r="C16" s="27"/>
      <c r="D16" s="12"/>
      <c r="E16" s="57"/>
      <c r="F16" s="46" t="s">
        <v>52</v>
      </c>
      <c r="G16" s="62">
        <f>PMT(G9/12,G8,-G15)</f>
        <v>69932.000870095595</v>
      </c>
      <c r="H16" s="45"/>
      <c r="I16" s="58"/>
      <c r="J16" s="12"/>
      <c r="K16" s="12"/>
      <c r="L16" s="12" t="s">
        <v>90</v>
      </c>
      <c r="M16" s="27">
        <f>IF(Q7,Q16,PMT(M11/12,M8,-M15))</f>
        <v>69932.000870095595</v>
      </c>
      <c r="N16" s="12"/>
      <c r="O16" s="19"/>
      <c r="P16" s="33" t="s">
        <v>90</v>
      </c>
      <c r="Q16" s="39">
        <f>PMT(Q11/12,Q8,-Q15)</f>
        <v>82272.942200112462</v>
      </c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</row>
    <row r="17" spans="1:41" outlineLevel="1">
      <c r="A17" s="12"/>
      <c r="B17" s="12"/>
      <c r="C17" s="27"/>
      <c r="D17" s="12"/>
      <c r="E17" s="57"/>
      <c r="F17" s="46" t="s">
        <v>50</v>
      </c>
      <c r="G17" s="47">
        <f>G4*(100%-G6)*G7</f>
        <v>1912500</v>
      </c>
      <c r="H17" s="45"/>
      <c r="I17" s="58"/>
      <c r="J17" s="12"/>
      <c r="K17" s="12"/>
      <c r="L17" s="12" t="s">
        <v>88</v>
      </c>
      <c r="M17" s="23">
        <v>0.13</v>
      </c>
      <c r="N17" s="12"/>
      <c r="O17" s="19"/>
      <c r="P17" s="33" t="s">
        <v>88</v>
      </c>
      <c r="Q17" s="111">
        <v>0.13</v>
      </c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</row>
    <row r="18" spans="1:41" outlineLevel="1">
      <c r="A18" s="12"/>
      <c r="B18" s="12"/>
      <c r="C18" s="20"/>
      <c r="D18" s="12"/>
      <c r="E18" s="57"/>
      <c r="F18" s="46" t="s">
        <v>56</v>
      </c>
      <c r="G18" s="64">
        <f>(1-(100%-G7)*G19)</f>
        <v>0.85</v>
      </c>
      <c r="H18" s="45"/>
      <c r="I18" s="58"/>
      <c r="J18" s="12"/>
      <c r="K18" s="12"/>
      <c r="L18" s="12" t="s">
        <v>91</v>
      </c>
      <c r="M18" s="22">
        <f>IF(Q7&gt;0,Q18,M16*M12)</f>
        <v>839184.01044114714</v>
      </c>
      <c r="N18" s="12"/>
      <c r="O18" s="19"/>
      <c r="P18" s="33" t="s">
        <v>34</v>
      </c>
      <c r="Q18" s="40">
        <f>Q16*Q12</f>
        <v>987275.3064013496</v>
      </c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</row>
    <row r="19" spans="1:41" outlineLevel="1">
      <c r="A19" s="12"/>
      <c r="B19" s="12" t="s">
        <v>62</v>
      </c>
      <c r="C19" s="20">
        <v>0.27361760000000002</v>
      </c>
      <c r="D19" s="12"/>
      <c r="E19" s="57"/>
      <c r="F19" s="46" t="s">
        <v>32</v>
      </c>
      <c r="G19" s="63">
        <f>G17/G15</f>
        <v>0.17647058823529413</v>
      </c>
      <c r="H19" s="93" t="s">
        <v>65</v>
      </c>
      <c r="I19" s="58"/>
      <c r="J19" s="12"/>
      <c r="K19" s="12"/>
      <c r="L19" s="12" t="s">
        <v>92</v>
      </c>
      <c r="M19" s="22">
        <f>IF(Q7&gt;0,Q19,M18*M17+M18)</f>
        <v>948277.93179849628</v>
      </c>
      <c r="N19" s="12"/>
      <c r="O19" s="19"/>
      <c r="P19" s="33" t="s">
        <v>92</v>
      </c>
      <c r="Q19" s="40">
        <f>Q18*Q17+Q18</f>
        <v>1115621.0962335251</v>
      </c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</row>
    <row r="20" spans="1:41" outlineLevel="1">
      <c r="A20" s="12"/>
      <c r="B20" s="12" t="s">
        <v>63</v>
      </c>
      <c r="C20" s="27">
        <f>C19*(C4*(100%-C6))</f>
        <v>3488624.4000000004</v>
      </c>
      <c r="D20" s="88"/>
      <c r="E20" s="57"/>
      <c r="F20" s="46" t="s">
        <v>64</v>
      </c>
      <c r="G20" s="65">
        <f>G17/G18</f>
        <v>2250000</v>
      </c>
      <c r="H20" s="45"/>
      <c r="I20" s="58"/>
      <c r="J20" s="12"/>
      <c r="K20" s="12"/>
      <c r="L20" s="12" t="s">
        <v>93</v>
      </c>
      <c r="M20" s="20">
        <f>IF(Q7&gt;0,Q20,M18/M15)</f>
        <v>7.7433357364811731E-2</v>
      </c>
      <c r="N20" s="12"/>
      <c r="O20" s="19"/>
      <c r="P20" s="33" t="s">
        <v>93</v>
      </c>
      <c r="Q20" s="38">
        <f>Q18/Q15</f>
        <v>7.7433357364811731E-2</v>
      </c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</row>
    <row r="21" spans="1:41">
      <c r="A21" s="12"/>
      <c r="B21" s="12"/>
      <c r="C21" s="12"/>
      <c r="D21" s="12"/>
      <c r="E21" s="57"/>
      <c r="F21" s="46"/>
      <c r="G21" s="46"/>
      <c r="H21" s="45"/>
      <c r="I21" s="58"/>
      <c r="J21" s="12"/>
      <c r="K21" s="12"/>
      <c r="L21" s="12" t="s">
        <v>35</v>
      </c>
      <c r="M21" s="20">
        <f>IF(Q7&gt;0,Q21,(1-(100%-M7)*M20))</f>
        <v>0.93418164623991007</v>
      </c>
      <c r="N21" s="12"/>
      <c r="O21" s="19"/>
      <c r="P21" s="33" t="s">
        <v>35</v>
      </c>
      <c r="Q21" s="38">
        <f>1-Q20</f>
        <v>0.92256664263518828</v>
      </c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</row>
    <row r="22" spans="1:41">
      <c r="A22" s="12"/>
      <c r="B22" s="30" t="s">
        <v>58</v>
      </c>
      <c r="C22" s="51">
        <f>(C4*(100%-C6)+C20)</f>
        <v>16238624.4</v>
      </c>
      <c r="D22" s="12"/>
      <c r="E22" s="57"/>
      <c r="F22" s="49" t="s">
        <v>24</v>
      </c>
      <c r="G22" s="66">
        <f>(G4*(100%-G6)+G20)</f>
        <v>15000000</v>
      </c>
      <c r="H22" s="45"/>
      <c r="I22" s="58"/>
      <c r="J22" s="12"/>
      <c r="K22" s="12"/>
      <c r="L22" s="12" t="s">
        <v>32</v>
      </c>
      <c r="M22" s="20">
        <f>IF(Q7&gt;0,Q22,M18/M15)</f>
        <v>7.7433357364811731E-2</v>
      </c>
      <c r="N22" s="12"/>
      <c r="O22" s="19"/>
      <c r="P22" s="33" t="s">
        <v>32</v>
      </c>
      <c r="Q22" s="38">
        <f>Q18/Q15</f>
        <v>7.7433357364811731E-2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</row>
    <row r="23" spans="1:41">
      <c r="A23" s="12"/>
      <c r="B23" s="30" t="s">
        <v>30</v>
      </c>
      <c r="C23" s="27">
        <f>C22*(100%-C7)</f>
        <v>13802830.74</v>
      </c>
      <c r="D23" s="12"/>
      <c r="E23" s="57"/>
      <c r="F23" s="49" t="s">
        <v>30</v>
      </c>
      <c r="G23" s="67">
        <f>G22*(100%-G7)</f>
        <v>12750000</v>
      </c>
      <c r="H23" s="90"/>
      <c r="I23" s="58"/>
      <c r="J23" s="12"/>
      <c r="K23" s="12"/>
      <c r="L23" s="12" t="s">
        <v>94</v>
      </c>
      <c r="M23" s="22">
        <f>IF(Q7&gt;0,Q23,M18/M21)</f>
        <v>898309.2461930404</v>
      </c>
      <c r="N23" s="12"/>
      <c r="O23" s="19"/>
      <c r="P23" s="33" t="s">
        <v>94</v>
      </c>
      <c r="Q23" s="40">
        <f>Q18/Q21</f>
        <v>1070139.8259765059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</row>
    <row r="24" spans="1:41">
      <c r="A24" s="12"/>
      <c r="B24" s="30" t="s">
        <v>45</v>
      </c>
      <c r="C24" s="27">
        <f>C22-C23</f>
        <v>2435793.66</v>
      </c>
      <c r="D24" s="12"/>
      <c r="E24" s="57"/>
      <c r="F24" s="49" t="s">
        <v>45</v>
      </c>
      <c r="G24" s="67">
        <f>G22-G23</f>
        <v>2250000</v>
      </c>
      <c r="H24" s="45"/>
      <c r="I24" s="58"/>
      <c r="J24" s="12"/>
      <c r="K24" s="12"/>
      <c r="L24" s="12"/>
      <c r="M24" s="12"/>
      <c r="N24" s="12"/>
      <c r="O24" s="19"/>
      <c r="P24" s="33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</row>
    <row r="25" spans="1:41">
      <c r="A25" s="12"/>
      <c r="B25" s="30" t="s">
        <v>46</v>
      </c>
      <c r="C25" s="20">
        <f>C24/C22</f>
        <v>0.15</v>
      </c>
      <c r="D25" s="12"/>
      <c r="E25" s="57"/>
      <c r="F25" s="49" t="s">
        <v>46</v>
      </c>
      <c r="G25" s="68">
        <f>G24/G22</f>
        <v>0.15</v>
      </c>
      <c r="H25" s="45"/>
      <c r="I25" s="58"/>
      <c r="J25" s="12"/>
      <c r="K25" s="12"/>
      <c r="L25" s="30" t="s">
        <v>24</v>
      </c>
      <c r="M25" s="51">
        <f>(M4*(100%-M6)+M23)</f>
        <v>13648309.24619304</v>
      </c>
      <c r="N25" s="12"/>
      <c r="O25" s="19"/>
      <c r="P25" s="33" t="s">
        <v>24</v>
      </c>
      <c r="Q25" s="19">
        <f>(Q4*(100%-Q6)+Q23)</f>
        <v>13820139.825976506</v>
      </c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</row>
    <row r="26" spans="1:41">
      <c r="A26" s="12"/>
      <c r="B26" s="30" t="s">
        <v>22</v>
      </c>
      <c r="C26" s="27">
        <f>PMT(C9/12,C8,-C23)</f>
        <v>89066.62711136906</v>
      </c>
      <c r="D26" s="12"/>
      <c r="E26" s="57"/>
      <c r="F26" s="49" t="s">
        <v>22</v>
      </c>
      <c r="G26" s="87">
        <f>PMT(G9/12,G8,-G23)</f>
        <v>82272.942200112462</v>
      </c>
      <c r="H26" s="45"/>
      <c r="I26" s="58"/>
      <c r="J26" s="12"/>
      <c r="K26" s="12"/>
      <c r="L26" s="30" t="s">
        <v>30</v>
      </c>
      <c r="M26" s="112">
        <f>IF(Q7&gt;0,Q26,(M4*(100%-M6)+M23)*(100%-M7))</f>
        <v>11601062.859264083</v>
      </c>
      <c r="N26" s="12"/>
      <c r="O26" s="19"/>
      <c r="P26" s="33" t="s">
        <v>30</v>
      </c>
      <c r="Q26" s="40">
        <f>Q25-Q27</f>
        <v>13820139.825976506</v>
      </c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</row>
    <row r="27" spans="1:41">
      <c r="A27" s="12"/>
      <c r="B27" s="30" t="s">
        <v>40</v>
      </c>
      <c r="C27" s="85">
        <f>C22*C7</f>
        <v>2435793.66</v>
      </c>
      <c r="D27" s="27"/>
      <c r="E27" s="57"/>
      <c r="F27" s="49" t="s">
        <v>57</v>
      </c>
      <c r="G27" s="85">
        <f>G22*G7</f>
        <v>2250000</v>
      </c>
      <c r="H27" s="45"/>
      <c r="I27" s="58"/>
      <c r="J27" s="12"/>
      <c r="K27" s="12"/>
      <c r="L27" s="30" t="s">
        <v>45</v>
      </c>
      <c r="M27" s="112">
        <f>M25-M26</f>
        <v>2047246.386928957</v>
      </c>
      <c r="N27" s="12"/>
      <c r="O27" s="19"/>
      <c r="P27" s="33" t="s">
        <v>14</v>
      </c>
      <c r="Q27" s="40">
        <f>Q7</f>
        <v>0</v>
      </c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</row>
    <row r="28" spans="1:41">
      <c r="A28" s="12"/>
      <c r="B28" s="44"/>
      <c r="C28" s="27"/>
      <c r="D28" s="12"/>
      <c r="E28" s="57"/>
      <c r="F28" s="50" t="s">
        <v>49</v>
      </c>
      <c r="G28" s="67">
        <f>IF(G27&gt;5000000,(5000000*13%+(G27-5000000)*15%),G27-G27*13%)</f>
        <v>1957500</v>
      </c>
      <c r="H28" s="45"/>
      <c r="I28" s="58"/>
      <c r="J28" s="12"/>
      <c r="K28" s="12"/>
      <c r="L28" s="30" t="s">
        <v>46</v>
      </c>
      <c r="M28" s="113">
        <f>M27/M25</f>
        <v>0.15000000000000008</v>
      </c>
      <c r="N28" s="43" t="str">
        <f>IF(M28&lt;15%,"ПВ менее 15% !!!","")</f>
        <v/>
      </c>
      <c r="O28" s="19"/>
      <c r="P28" s="33"/>
      <c r="Q28" s="40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</row>
    <row r="29" spans="1:41" ht="18" customHeight="1">
      <c r="A29" s="12"/>
      <c r="B29" s="30"/>
      <c r="C29" s="89"/>
      <c r="D29" s="88"/>
      <c r="E29" s="57"/>
      <c r="F29" s="49" t="s">
        <v>25</v>
      </c>
      <c r="G29" s="86" t="str">
        <f>IF(G27=G20,"верно","ошибка")</f>
        <v>верно</v>
      </c>
      <c r="H29" s="45"/>
      <c r="I29" s="58"/>
      <c r="J29" s="12"/>
      <c r="K29" s="12"/>
      <c r="L29" s="30" t="s">
        <v>22</v>
      </c>
      <c r="M29" s="114">
        <f>PMT(M11/12,M8,-M26)</f>
        <v>74859.103849420018</v>
      </c>
      <c r="N29" s="12"/>
      <c r="O29" s="19"/>
      <c r="P29" s="33" t="s">
        <v>22</v>
      </c>
      <c r="Q29" s="19">
        <f>PMT(Q11/12,Q8,-Q26)</f>
        <v>89178.31883137548</v>
      </c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</row>
    <row r="30" spans="1:41">
      <c r="A30" s="12"/>
      <c r="B30" s="12"/>
      <c r="C30" s="12"/>
      <c r="D30" s="12"/>
      <c r="E30" s="57"/>
      <c r="F30" s="46"/>
      <c r="G30" s="45"/>
      <c r="H30" s="45"/>
      <c r="I30" s="58"/>
      <c r="J30" s="12"/>
      <c r="K30" s="12"/>
      <c r="L30" s="30" t="s">
        <v>40</v>
      </c>
      <c r="M30" s="112">
        <f>M29*M12</f>
        <v>898309.24619304016</v>
      </c>
      <c r="N30" s="32"/>
      <c r="O30" s="19"/>
      <c r="P30" s="33" t="s">
        <v>40</v>
      </c>
      <c r="Q30" s="40">
        <f>Q29*Q12</f>
        <v>1070139.8259765059</v>
      </c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</row>
    <row r="31" spans="1:41" ht="21">
      <c r="A31" s="12"/>
      <c r="B31" s="554" t="s">
        <v>74</v>
      </c>
      <c r="C31" s="554"/>
      <c r="D31" s="12"/>
      <c r="E31" s="57"/>
      <c r="F31" s="525" t="s">
        <v>41</v>
      </c>
      <c r="G31" s="525"/>
      <c r="H31" s="45"/>
      <c r="I31" s="58"/>
      <c r="J31" s="12"/>
      <c r="K31" s="12"/>
      <c r="L31" s="44" t="s">
        <v>39</v>
      </c>
      <c r="M31" s="114">
        <f>IF(M30&gt;5000000,(5000000*13%+(M30-5000000)*15%),M30-M30*13%)</f>
        <v>781529.04418794496</v>
      </c>
      <c r="N31" s="12"/>
      <c r="O31" s="19"/>
      <c r="P31" s="33" t="s">
        <v>39</v>
      </c>
      <c r="Q31" s="19">
        <f>IF(Q30&gt;5000000,(5000000*13%+(Q30-5000000)*15%),Q30-Q30*13%)</f>
        <v>931021.64859956014</v>
      </c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</row>
    <row r="32" spans="1:41" ht="28.5" customHeight="1">
      <c r="A32" s="12"/>
      <c r="B32" s="28" t="s">
        <v>79</v>
      </c>
      <c r="C32" s="95">
        <f>C4*(100%-C6)*(C11+C12)</f>
        <v>765000</v>
      </c>
      <c r="D32" s="110"/>
      <c r="E32" s="57"/>
      <c r="F32" s="46" t="s">
        <v>42</v>
      </c>
      <c r="G32" s="84">
        <f>G26-G16</f>
        <v>12340.941330016867</v>
      </c>
      <c r="H32" s="45"/>
      <c r="I32" s="58"/>
      <c r="J32" s="12"/>
      <c r="K32" s="12"/>
      <c r="L32" s="30" t="s">
        <v>25</v>
      </c>
      <c r="M32" s="24" t="str">
        <f>IF(M30=M23,"верно","ошибка")</f>
        <v>верно</v>
      </c>
      <c r="N32" s="26"/>
      <c r="O32" s="19"/>
      <c r="P32" s="33" t="s">
        <v>25</v>
      </c>
      <c r="Q32" s="24" t="str">
        <f>IF(Q30=Q23,"верно","ошибка")</f>
        <v>верно</v>
      </c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</row>
    <row r="33" spans="1:41">
      <c r="A33" s="12"/>
      <c r="B33" s="12" t="s">
        <v>59</v>
      </c>
      <c r="C33" s="32">
        <f>C20-C27</f>
        <v>1052830.7400000002</v>
      </c>
      <c r="D33" s="19"/>
      <c r="E33" s="57"/>
      <c r="F33" s="46" t="s">
        <v>54</v>
      </c>
      <c r="G33" s="48">
        <f>G28/G32</f>
        <v>158.61837015939565</v>
      </c>
      <c r="H33" s="45"/>
      <c r="I33" s="58"/>
      <c r="J33" s="12"/>
      <c r="K33" s="12"/>
      <c r="L33" s="30" t="s">
        <v>95</v>
      </c>
      <c r="M33" s="115">
        <f>M30/M26</f>
        <v>7.7433357364811717E-2</v>
      </c>
      <c r="N33" s="26"/>
      <c r="O33" s="19"/>
      <c r="P33" s="33" t="s">
        <v>95</v>
      </c>
      <c r="Q33" s="116">
        <f>Q30/Q26</f>
        <v>7.7433357364811731E-2</v>
      </c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</row>
    <row r="34" spans="1:41">
      <c r="A34" s="12"/>
      <c r="B34" s="12" t="s">
        <v>60</v>
      </c>
      <c r="C34" s="32">
        <f>C27*12%</f>
        <v>292295.23920000001</v>
      </c>
      <c r="D34" s="19"/>
      <c r="E34" s="57"/>
      <c r="F34" s="46" t="s">
        <v>55</v>
      </c>
      <c r="G34" s="48">
        <f>G33/12</f>
        <v>13.218197513282972</v>
      </c>
      <c r="H34" s="45"/>
      <c r="I34" s="58"/>
      <c r="J34" s="12"/>
      <c r="K34" s="12"/>
      <c r="L34" s="12"/>
      <c r="M34" s="12"/>
      <c r="N34" s="12"/>
      <c r="O34" s="19"/>
      <c r="P34" s="33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</row>
    <row r="35" spans="1:41">
      <c r="A35" s="12"/>
      <c r="B35" s="91" t="s">
        <v>61</v>
      </c>
      <c r="C35" s="92">
        <f>SUM(C32:C34)</f>
        <v>2110125.9792000004</v>
      </c>
      <c r="D35" s="19"/>
      <c r="E35" s="57"/>
      <c r="F35" s="46"/>
      <c r="G35" s="46"/>
      <c r="H35" s="45"/>
      <c r="I35" s="58"/>
      <c r="J35" s="12"/>
      <c r="K35" s="12"/>
      <c r="L35" s="554" t="s">
        <v>41</v>
      </c>
      <c r="M35" s="554"/>
      <c r="N35" s="12"/>
      <c r="O35" s="19"/>
      <c r="P35" s="33" t="s">
        <v>41</v>
      </c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</row>
    <row r="36" spans="1:41" outlineLevel="1">
      <c r="A36" s="12"/>
      <c r="B36" s="12"/>
      <c r="C36" s="32"/>
      <c r="D36" s="19"/>
      <c r="E36" s="57"/>
      <c r="F36" s="46" t="s">
        <v>29</v>
      </c>
      <c r="G36" s="63">
        <f>(G23-G27)/G4-100%</f>
        <v>-0.30000000000000004</v>
      </c>
      <c r="H36" s="45"/>
      <c r="I36" s="58"/>
      <c r="J36" s="12"/>
      <c r="K36" s="12"/>
      <c r="L36" s="12" t="s">
        <v>42</v>
      </c>
      <c r="M36" s="32">
        <f>M29-M16</f>
        <v>4927.1029793244234</v>
      </c>
      <c r="N36" s="12"/>
      <c r="O36" s="19"/>
      <c r="P36" s="33" t="s">
        <v>42</v>
      </c>
      <c r="Q36" s="117">
        <f>Q29-Q16</f>
        <v>6905.3766312630178</v>
      </c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</row>
    <row r="37" spans="1:41" outlineLevel="1">
      <c r="A37" s="12"/>
      <c r="B37" s="12" t="s">
        <v>67</v>
      </c>
      <c r="C37" s="32">
        <f>(C22-C14)*20%</f>
        <v>848429.88000000012</v>
      </c>
      <c r="D37" s="97">
        <f>(C22-C14)/(1+20%)*20%</f>
        <v>707024.90000000014</v>
      </c>
      <c r="E37" s="57"/>
      <c r="F37" s="46" t="s">
        <v>28</v>
      </c>
      <c r="G37" s="65">
        <f>G22-G4</f>
        <v>0</v>
      </c>
      <c r="H37" s="45"/>
      <c r="I37" s="58"/>
      <c r="J37" s="12"/>
      <c r="K37" s="12"/>
      <c r="L37" s="12" t="s">
        <v>96</v>
      </c>
      <c r="M37" s="107">
        <f>M31/M36</f>
        <v>158.61837015939614</v>
      </c>
      <c r="N37" s="12"/>
      <c r="O37" s="19"/>
      <c r="P37" s="33" t="s">
        <v>96</v>
      </c>
      <c r="Q37" s="41">
        <f>Q31/Q36</f>
        <v>134.82561463548629</v>
      </c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</row>
    <row r="38" spans="1:41" outlineLevel="1">
      <c r="A38" s="12"/>
      <c r="B38" s="12" t="s">
        <v>69</v>
      </c>
      <c r="C38" s="32">
        <f>C41+C40+C22-C27-C14-C42</f>
        <v>1634608.5181000009</v>
      </c>
      <c r="D38" s="32"/>
      <c r="E38" s="69"/>
      <c r="F38" s="46" t="s">
        <v>31</v>
      </c>
      <c r="G38" s="63">
        <f>G37/G4*(-1)</f>
        <v>0</v>
      </c>
      <c r="H38" s="45"/>
      <c r="I38" s="58"/>
      <c r="J38" s="12"/>
      <c r="K38" s="12"/>
      <c r="L38" s="12" t="s">
        <v>97</v>
      </c>
      <c r="M38" s="107">
        <f>M37/12</f>
        <v>13.218197513283011</v>
      </c>
      <c r="N38" s="12"/>
      <c r="O38" s="19"/>
      <c r="P38" s="33" t="s">
        <v>97</v>
      </c>
      <c r="Q38" s="41">
        <f>Q37/12</f>
        <v>11.235467886290524</v>
      </c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</row>
    <row r="39" spans="1:41" outlineLevel="1">
      <c r="A39" s="12"/>
      <c r="B39" s="12" t="s">
        <v>66</v>
      </c>
      <c r="C39" s="32">
        <f>C38*20%</f>
        <v>326921.70362000022</v>
      </c>
      <c r="D39" s="96"/>
      <c r="E39" s="69"/>
      <c r="F39" s="46"/>
      <c r="G39" s="63"/>
      <c r="H39" s="45"/>
      <c r="I39" s="58"/>
      <c r="J39" s="12"/>
      <c r="K39" s="12"/>
      <c r="L39" s="12"/>
      <c r="M39" s="12"/>
      <c r="N39" s="12"/>
      <c r="O39" s="19"/>
      <c r="P39" s="33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</row>
    <row r="40" spans="1:41" ht="27" customHeight="1">
      <c r="A40" s="12"/>
      <c r="B40" s="28" t="s">
        <v>71</v>
      </c>
      <c r="C40" s="95">
        <f>C27*3.5%</f>
        <v>85252.77810000001</v>
      </c>
      <c r="D40" s="12"/>
      <c r="E40" s="69"/>
      <c r="F40" s="45"/>
      <c r="G40" s="45"/>
      <c r="H40" s="45"/>
      <c r="I40" s="58"/>
      <c r="J40" s="12"/>
      <c r="K40" s="12"/>
      <c r="L40" s="12" t="s">
        <v>29</v>
      </c>
      <c r="M40" s="20">
        <f>(M26-M30)/M4-100%</f>
        <v>-0.28648309246193049</v>
      </c>
      <c r="N40" s="12"/>
      <c r="O40" s="19"/>
      <c r="P40" s="33" t="s">
        <v>29</v>
      </c>
      <c r="Q40" s="38">
        <f>(Q26-Q30)/Q4-100%</f>
        <v>-0.15000000000000002</v>
      </c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</row>
    <row r="41" spans="1:41">
      <c r="A41" s="12"/>
      <c r="B41" s="12" t="s">
        <v>70</v>
      </c>
      <c r="C41" s="32">
        <v>100000</v>
      </c>
      <c r="D41" s="12"/>
      <c r="E41" s="69"/>
      <c r="F41" s="45"/>
      <c r="G41" s="45"/>
      <c r="H41" s="45"/>
      <c r="I41" s="58"/>
      <c r="J41" s="12"/>
      <c r="K41" s="12"/>
      <c r="L41" s="12" t="s">
        <v>28</v>
      </c>
      <c r="M41" s="22">
        <f>M25-M4</f>
        <v>-1351690.7538069598</v>
      </c>
      <c r="N41" s="12"/>
      <c r="O41" s="19"/>
      <c r="P41" s="33" t="s">
        <v>28</v>
      </c>
      <c r="Q41" s="40">
        <f>Q25-Q4</f>
        <v>-1179860.1740234941</v>
      </c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</row>
    <row r="42" spans="1:41" ht="22.5">
      <c r="A42" s="12"/>
      <c r="B42" s="28" t="s">
        <v>83</v>
      </c>
      <c r="C42" s="32">
        <f>C13*(C12-0.2%)</f>
        <v>356999.99999999994</v>
      </c>
      <c r="D42" s="12"/>
      <c r="E42" s="69"/>
      <c r="F42" s="45"/>
      <c r="G42" s="45"/>
      <c r="H42" s="45"/>
      <c r="I42" s="58"/>
      <c r="J42" s="12"/>
      <c r="K42" s="12"/>
      <c r="L42" s="12" t="s">
        <v>31</v>
      </c>
      <c r="M42" s="20">
        <f>M41/M4*(-1)</f>
        <v>9.0112716920463992E-2</v>
      </c>
      <c r="N42" s="12"/>
      <c r="O42" s="19"/>
      <c r="P42" s="33" t="s">
        <v>31</v>
      </c>
      <c r="Q42" s="38">
        <f>Q41/Q4*(-1)</f>
        <v>7.8657344934899606E-2</v>
      </c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>
      <c r="A43" s="12"/>
      <c r="B43" s="12"/>
      <c r="C43" s="32"/>
      <c r="D43" s="12"/>
      <c r="E43" s="69"/>
      <c r="F43" s="45"/>
      <c r="G43" s="45"/>
      <c r="H43" s="45"/>
      <c r="I43" s="58"/>
      <c r="J43" s="12"/>
      <c r="K43" s="12"/>
      <c r="L43" s="12"/>
      <c r="M43" s="12"/>
      <c r="N43" s="12"/>
      <c r="O43" s="19"/>
      <c r="P43" s="33"/>
      <c r="Q43" s="19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</row>
    <row r="44" spans="1:41">
      <c r="A44" s="12"/>
      <c r="B44" s="12" t="s">
        <v>68</v>
      </c>
      <c r="C44" s="32">
        <f>C35-C37-C39-(SUM(C40:C42))</f>
        <v>392521.61748000002</v>
      </c>
      <c r="D44" s="29"/>
      <c r="E44" s="70"/>
      <c r="F44" s="53"/>
      <c r="G44" s="53"/>
      <c r="H44" s="53"/>
      <c r="I44" s="71"/>
      <c r="J44" s="83"/>
      <c r="K44" s="12"/>
      <c r="L44" s="12"/>
      <c r="M44" s="12"/>
      <c r="N44" s="12"/>
      <c r="O44" s="33"/>
      <c r="P44" s="33"/>
      <c r="Q44" s="19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41">
      <c r="A45" s="12"/>
      <c r="B45" s="12"/>
      <c r="C45" s="12"/>
      <c r="D45" s="29"/>
      <c r="E45" s="70"/>
      <c r="F45" s="53"/>
      <c r="G45" s="53"/>
      <c r="H45" s="53"/>
      <c r="I45" s="71"/>
      <c r="J45" s="83"/>
      <c r="K45" s="12"/>
      <c r="L45" s="30"/>
      <c r="M45" s="31"/>
      <c r="N45" s="31"/>
      <c r="O45" s="31"/>
      <c r="P45" s="31"/>
      <c r="Q45" s="42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</row>
    <row r="46" spans="1:41">
      <c r="A46" s="12"/>
      <c r="B46" s="28"/>
      <c r="C46" s="94"/>
      <c r="D46" s="12"/>
      <c r="E46" s="69"/>
      <c r="F46" s="45"/>
      <c r="G46" s="45"/>
      <c r="H46" s="45"/>
      <c r="I46" s="58"/>
      <c r="J46" s="12"/>
      <c r="K46" s="12"/>
      <c r="L46" s="12"/>
      <c r="M46" s="12"/>
      <c r="N46" s="31"/>
      <c r="O46" s="31"/>
      <c r="P46" s="12"/>
      <c r="Q46" s="1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</row>
    <row r="47" spans="1:41">
      <c r="A47" s="12"/>
      <c r="B47" s="554" t="s">
        <v>76</v>
      </c>
      <c r="C47" s="554"/>
      <c r="D47" s="12"/>
      <c r="E47" s="69"/>
      <c r="F47" s="45"/>
      <c r="G47" s="45"/>
      <c r="H47" s="45"/>
      <c r="I47" s="58"/>
      <c r="J47" s="12"/>
      <c r="K47" s="12"/>
      <c r="L47" s="12"/>
      <c r="M47" s="12"/>
      <c r="N47" s="12"/>
      <c r="O47" s="12"/>
      <c r="P47" s="12"/>
      <c r="Q47" s="19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</row>
    <row r="48" spans="1:41">
      <c r="A48" s="12"/>
      <c r="B48" s="12"/>
      <c r="C48" s="32"/>
      <c r="D48" s="12"/>
      <c r="E48" s="69"/>
      <c r="F48" s="45"/>
      <c r="G48" s="45"/>
      <c r="H48" s="45"/>
      <c r="I48" s="58"/>
      <c r="J48" s="12"/>
      <c r="K48" s="12"/>
      <c r="L48" s="12"/>
      <c r="M48" s="12"/>
      <c r="N48" s="12"/>
      <c r="O48" s="12"/>
      <c r="P48" s="12"/>
      <c r="Q48" s="19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</row>
    <row r="49" spans="1:41">
      <c r="A49" s="12"/>
      <c r="B49" s="12" t="s">
        <v>75</v>
      </c>
      <c r="C49" s="32">
        <v>200000000</v>
      </c>
      <c r="D49" s="12"/>
      <c r="E49" s="69"/>
      <c r="F49" s="45"/>
      <c r="G49" s="45"/>
      <c r="H49" s="45"/>
      <c r="I49" s="58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</row>
    <row r="50" spans="1:41">
      <c r="A50" s="12"/>
      <c r="B50" s="12" t="s">
        <v>77</v>
      </c>
      <c r="C50" s="107">
        <f>C49/C35</f>
        <v>94.781070879865112</v>
      </c>
      <c r="D50" s="12"/>
      <c r="E50" s="69"/>
      <c r="F50" s="45"/>
      <c r="G50" s="45"/>
      <c r="H50" s="45"/>
      <c r="I50" s="58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</row>
    <row r="51" spans="1:41">
      <c r="A51" s="12"/>
      <c r="B51" s="12"/>
      <c r="C51" s="12"/>
      <c r="D51" s="12"/>
      <c r="E51" s="69"/>
      <c r="F51" s="45"/>
      <c r="G51" s="45"/>
      <c r="H51" s="45"/>
      <c r="I51" s="58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</row>
    <row r="52" spans="1:41">
      <c r="A52" s="12"/>
      <c r="B52" s="12"/>
      <c r="C52" s="108"/>
      <c r="D52" s="12"/>
      <c r="E52" s="69"/>
      <c r="F52" s="45"/>
      <c r="G52" s="45"/>
      <c r="H52" s="45"/>
      <c r="I52" s="58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</row>
    <row r="53" spans="1:41">
      <c r="A53" s="12"/>
      <c r="B53" s="12"/>
      <c r="C53" s="107"/>
      <c r="D53" s="12"/>
      <c r="E53" s="69"/>
      <c r="F53" s="45"/>
      <c r="G53" s="45"/>
      <c r="H53" s="45"/>
      <c r="I53" s="58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>
      <c r="A54" s="12"/>
      <c r="B54" s="12"/>
      <c r="C54" s="12"/>
      <c r="D54" s="12"/>
      <c r="E54" s="69"/>
      <c r="F54" s="45"/>
      <c r="G54" s="45"/>
      <c r="H54" s="45"/>
      <c r="I54" s="58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</row>
    <row r="55" spans="1:41">
      <c r="A55" s="12"/>
      <c r="B55" s="12"/>
      <c r="C55" s="12"/>
      <c r="D55" s="12"/>
      <c r="E55" s="69"/>
      <c r="F55" s="45"/>
      <c r="G55" s="45"/>
      <c r="H55" s="45"/>
      <c r="I55" s="58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</row>
    <row r="56" spans="1:41">
      <c r="A56" s="12"/>
      <c r="B56" s="12"/>
      <c r="C56" s="12"/>
      <c r="D56" s="12"/>
      <c r="E56" s="69"/>
      <c r="F56" s="45"/>
      <c r="G56" s="45"/>
      <c r="H56" s="45"/>
      <c r="I56" s="58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</row>
    <row r="57" spans="1:41">
      <c r="A57" s="12"/>
      <c r="B57" s="12"/>
      <c r="C57" s="12"/>
      <c r="D57" s="12"/>
      <c r="E57" s="69"/>
      <c r="F57" s="45"/>
      <c r="G57" s="45"/>
      <c r="H57" s="45"/>
      <c r="I57" s="58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</row>
    <row r="58" spans="1:41">
      <c r="A58" s="12"/>
      <c r="B58" s="12"/>
      <c r="C58" s="12"/>
      <c r="D58" s="12"/>
      <c r="E58" s="69"/>
      <c r="F58" s="45"/>
      <c r="G58" s="45"/>
      <c r="H58" s="45"/>
      <c r="I58" s="58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</row>
    <row r="59" spans="1:41">
      <c r="A59" s="12"/>
      <c r="B59" s="12"/>
      <c r="C59" s="12"/>
      <c r="D59" s="12"/>
      <c r="E59" s="69"/>
      <c r="F59" s="45"/>
      <c r="G59" s="45"/>
      <c r="H59" s="45"/>
      <c r="I59" s="58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</row>
    <row r="60" spans="1:41">
      <c r="A60" s="12"/>
      <c r="B60" s="12"/>
      <c r="C60" s="12"/>
      <c r="D60" s="12"/>
      <c r="E60" s="69"/>
      <c r="F60" s="45"/>
      <c r="G60" s="45"/>
      <c r="H60" s="45"/>
      <c r="I60" s="58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</row>
    <row r="61" spans="1:41">
      <c r="A61" s="12"/>
      <c r="B61" s="12"/>
      <c r="C61" s="12"/>
      <c r="D61" s="12"/>
      <c r="E61" s="69"/>
      <c r="F61" s="45"/>
      <c r="G61" s="45"/>
      <c r="H61" s="45"/>
      <c r="I61" s="58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</row>
    <row r="62" spans="1:41">
      <c r="A62" s="12"/>
      <c r="B62" s="12"/>
      <c r="C62" s="12"/>
      <c r="D62" s="12"/>
      <c r="E62" s="69"/>
      <c r="F62" s="45"/>
      <c r="G62" s="45"/>
      <c r="H62" s="45"/>
      <c r="I62" s="58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</row>
    <row r="63" spans="1:41">
      <c r="A63" s="12"/>
      <c r="B63" s="12"/>
      <c r="C63" s="12"/>
      <c r="D63" s="12"/>
      <c r="E63" s="69"/>
      <c r="F63" s="45"/>
      <c r="G63" s="45"/>
      <c r="H63" s="45"/>
      <c r="I63" s="58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</row>
    <row r="64" spans="1:41">
      <c r="A64" s="12"/>
      <c r="B64" s="12"/>
      <c r="C64" s="12"/>
      <c r="D64" s="12"/>
      <c r="E64" s="69"/>
      <c r="F64" s="45"/>
      <c r="G64" s="45"/>
      <c r="H64" s="45"/>
      <c r="I64" s="58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>
      <c r="A65" s="12"/>
      <c r="B65" s="12"/>
      <c r="C65" s="12"/>
      <c r="D65" s="12"/>
      <c r="E65" s="69"/>
      <c r="F65" s="45"/>
      <c r="G65" s="45"/>
      <c r="H65" s="45"/>
      <c r="I65" s="58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</row>
    <row r="66" spans="1:41">
      <c r="A66" s="12"/>
      <c r="B66" s="12"/>
      <c r="C66" s="12"/>
      <c r="D66" s="12"/>
      <c r="E66" s="69"/>
      <c r="F66" s="45"/>
      <c r="G66" s="45"/>
      <c r="H66" s="45"/>
      <c r="I66" s="58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</row>
    <row r="67" spans="1:41">
      <c r="A67" s="12"/>
      <c r="B67" s="12"/>
      <c r="C67" s="12"/>
      <c r="D67" s="12"/>
      <c r="E67" s="69"/>
      <c r="F67" s="45"/>
      <c r="G67" s="45"/>
      <c r="H67" s="45"/>
      <c r="I67" s="58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</row>
    <row r="68" spans="1:41">
      <c r="A68" s="12"/>
      <c r="B68" s="12"/>
      <c r="C68" s="12"/>
      <c r="D68" s="12"/>
      <c r="E68" s="69"/>
      <c r="F68" s="45"/>
      <c r="G68" s="45"/>
      <c r="H68" s="45"/>
      <c r="I68" s="58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</row>
    <row r="69" spans="1:41">
      <c r="A69" s="12"/>
      <c r="B69" s="12"/>
      <c r="C69" s="12"/>
      <c r="D69" s="12"/>
      <c r="E69" s="69"/>
      <c r="F69" s="45"/>
      <c r="G69" s="45"/>
      <c r="H69" s="45"/>
      <c r="I69" s="58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</row>
    <row r="70" spans="1:41">
      <c r="A70" s="12"/>
      <c r="B70" s="12"/>
      <c r="C70" s="12"/>
      <c r="D70" s="12"/>
      <c r="E70" s="69"/>
      <c r="F70" s="45"/>
      <c r="G70" s="45"/>
      <c r="H70" s="45"/>
      <c r="I70" s="58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</row>
    <row r="71" spans="1:41">
      <c r="A71" s="12"/>
      <c r="B71" s="12"/>
      <c r="C71" s="12"/>
      <c r="D71" s="12"/>
      <c r="E71" s="69"/>
      <c r="F71" s="45"/>
      <c r="G71" s="45"/>
      <c r="H71" s="45"/>
      <c r="I71" s="58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</row>
    <row r="72" spans="1:41">
      <c r="A72" s="12"/>
      <c r="B72" s="12"/>
      <c r="C72" s="12"/>
      <c r="D72" s="12"/>
      <c r="E72" s="69"/>
      <c r="F72" s="45"/>
      <c r="G72" s="45"/>
      <c r="H72" s="45"/>
      <c r="I72" s="58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</row>
    <row r="73" spans="1:41"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</row>
  </sheetData>
  <mergeCells count="8">
    <mergeCell ref="L35:M35"/>
    <mergeCell ref="B47:C47"/>
    <mergeCell ref="N7:O7"/>
    <mergeCell ref="B2:C2"/>
    <mergeCell ref="F2:H2"/>
    <mergeCell ref="L2:M2"/>
    <mergeCell ref="B31:C31"/>
    <mergeCell ref="F31:G31"/>
  </mergeCells>
  <dataValidations count="1">
    <dataValidation type="list" allowBlank="1" showInputMessage="1" showErrorMessage="1" sqref="M10 Q10" xr:uid="{5F51A520-2C9B-47BA-976F-FFFDF098AA66}">
      <formula1>"Да,Нет"</formula1>
    </dataValidation>
  </dataValidations>
  <pageMargins left="0.7" right="0.7" top="0.75" bottom="0.75" header="0.3" footer="0.3"/>
  <pageSetup paperSize="9" scale="76" orientation="portrait" r:id="rId1"/>
  <colBreaks count="1" manualBreakCount="1">
    <brk id="3" max="1048575" man="1"/>
  </col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workbookViewId="0">
      <selection activeCell="B19" sqref="B19"/>
    </sheetView>
  </sheetViews>
  <sheetFormatPr defaultRowHeight="15" outlineLevelCol="1"/>
  <cols>
    <col min="1" max="1" width="15.5703125" bestFit="1" customWidth="1"/>
    <col min="2" max="2" width="14.5703125" bestFit="1" customWidth="1"/>
    <col min="3" max="3" width="13.42578125" bestFit="1" customWidth="1"/>
    <col min="4" max="4" width="18" customWidth="1"/>
    <col min="5" max="5" width="22" style="3" hidden="1" customWidth="1" outlineLevel="1"/>
    <col min="6" max="6" width="18.5703125" style="3" hidden="1" customWidth="1" outlineLevel="1"/>
    <col min="7" max="7" width="13.42578125" bestFit="1" customWidth="1" collapsed="1"/>
    <col min="8" max="8" width="14.5703125" customWidth="1"/>
  </cols>
  <sheetData>
    <row r="1" spans="1:8" ht="19.5" customHeight="1">
      <c r="C1" s="560" t="s">
        <v>3</v>
      </c>
      <c r="D1" s="560"/>
      <c r="E1" s="5" t="s">
        <v>4</v>
      </c>
      <c r="F1" s="6" t="s">
        <v>5</v>
      </c>
      <c r="G1" s="560" t="s">
        <v>6</v>
      </c>
      <c r="H1" s="560"/>
    </row>
    <row r="2" spans="1:8" ht="45">
      <c r="A2" s="3" t="s">
        <v>2</v>
      </c>
      <c r="B2" s="3" t="s">
        <v>0</v>
      </c>
      <c r="C2" s="4" t="s">
        <v>9</v>
      </c>
      <c r="D2" s="4" t="s">
        <v>10</v>
      </c>
      <c r="E2" s="7" t="s">
        <v>1</v>
      </c>
      <c r="F2" s="8"/>
      <c r="G2" s="4" t="s">
        <v>8</v>
      </c>
      <c r="H2" s="4" t="s">
        <v>7</v>
      </c>
    </row>
    <row r="3" spans="1:8">
      <c r="A3" s="1">
        <v>18000000</v>
      </c>
      <c r="B3" s="2">
        <f>A3*15%</f>
        <v>2700000</v>
      </c>
      <c r="C3" s="2">
        <f>B3*20%</f>
        <v>540000</v>
      </c>
      <c r="D3" s="11">
        <f>C3/A3</f>
        <v>0.03</v>
      </c>
      <c r="E3" s="9">
        <f>A3*4%</f>
        <v>720000</v>
      </c>
      <c r="F3" s="10">
        <f>C3/A3</f>
        <v>0.03</v>
      </c>
      <c r="G3" s="2">
        <f>B3*10%</f>
        <v>270000</v>
      </c>
      <c r="H3" s="11">
        <f t="shared" ref="H3:H18" si="0">G3/A3</f>
        <v>1.4999999999999999E-2</v>
      </c>
    </row>
    <row r="4" spans="1:8">
      <c r="A4" s="2">
        <f>A3-1000000</f>
        <v>17000000</v>
      </c>
      <c r="B4" s="2">
        <f t="shared" ref="B4:B18" si="1">A4*15%</f>
        <v>2550000</v>
      </c>
      <c r="C4" s="2">
        <f t="shared" ref="C4:C18" si="2">B4*20%</f>
        <v>510000</v>
      </c>
      <c r="D4" s="11">
        <f t="shared" ref="D4:D18" si="3">C4/A4</f>
        <v>0.03</v>
      </c>
      <c r="E4" s="9">
        <f t="shared" ref="E4:E18" si="4">A4*4%</f>
        <v>680000</v>
      </c>
      <c r="F4" s="10">
        <f t="shared" ref="F4:F18" si="5">C4/A4</f>
        <v>0.03</v>
      </c>
      <c r="G4" s="2">
        <f t="shared" ref="G4:G18" si="6">B4*10%</f>
        <v>255000</v>
      </c>
      <c r="H4" s="11">
        <f t="shared" si="0"/>
        <v>1.4999999999999999E-2</v>
      </c>
    </row>
    <row r="5" spans="1:8">
      <c r="A5" s="2">
        <f t="shared" ref="A5:A18" si="7">A4-1000000</f>
        <v>16000000</v>
      </c>
      <c r="B5" s="2">
        <f t="shared" si="1"/>
        <v>2400000</v>
      </c>
      <c r="C5" s="2">
        <f t="shared" si="2"/>
        <v>480000</v>
      </c>
      <c r="D5" s="11">
        <f t="shared" si="3"/>
        <v>0.03</v>
      </c>
      <c r="E5" s="9">
        <f t="shared" si="4"/>
        <v>640000</v>
      </c>
      <c r="F5" s="10">
        <f t="shared" si="5"/>
        <v>0.03</v>
      </c>
      <c r="G5" s="2">
        <f t="shared" si="6"/>
        <v>240000</v>
      </c>
      <c r="H5" s="11">
        <f t="shared" si="0"/>
        <v>1.4999999999999999E-2</v>
      </c>
    </row>
    <row r="6" spans="1:8">
      <c r="A6" s="2">
        <f t="shared" si="7"/>
        <v>15000000</v>
      </c>
      <c r="B6" s="2">
        <f t="shared" si="1"/>
        <v>2250000</v>
      </c>
      <c r="C6" s="2">
        <f t="shared" si="2"/>
        <v>450000</v>
      </c>
      <c r="D6" s="11">
        <f t="shared" si="3"/>
        <v>0.03</v>
      </c>
      <c r="E6" s="9">
        <f t="shared" si="4"/>
        <v>600000</v>
      </c>
      <c r="F6" s="10">
        <f t="shared" si="5"/>
        <v>0.03</v>
      </c>
      <c r="G6" s="2">
        <f t="shared" si="6"/>
        <v>225000</v>
      </c>
      <c r="H6" s="11">
        <f t="shared" si="0"/>
        <v>1.4999999999999999E-2</v>
      </c>
    </row>
    <row r="7" spans="1:8">
      <c r="A7" s="2">
        <f t="shared" si="7"/>
        <v>14000000</v>
      </c>
      <c r="B7" s="2">
        <f t="shared" si="1"/>
        <v>2100000</v>
      </c>
      <c r="C7" s="2">
        <f t="shared" si="2"/>
        <v>420000</v>
      </c>
      <c r="D7" s="11">
        <f t="shared" si="3"/>
        <v>0.03</v>
      </c>
      <c r="E7" s="9">
        <f t="shared" si="4"/>
        <v>560000</v>
      </c>
      <c r="F7" s="10">
        <f t="shared" si="5"/>
        <v>0.03</v>
      </c>
      <c r="G7" s="2">
        <f t="shared" si="6"/>
        <v>210000</v>
      </c>
      <c r="H7" s="11">
        <f t="shared" si="0"/>
        <v>1.4999999999999999E-2</v>
      </c>
    </row>
    <row r="8" spans="1:8">
      <c r="A8" s="2">
        <f t="shared" si="7"/>
        <v>13000000</v>
      </c>
      <c r="B8" s="2">
        <f t="shared" si="1"/>
        <v>1950000</v>
      </c>
      <c r="C8" s="2">
        <f t="shared" si="2"/>
        <v>390000</v>
      </c>
      <c r="D8" s="11">
        <f t="shared" si="3"/>
        <v>0.03</v>
      </c>
      <c r="E8" s="9">
        <f t="shared" si="4"/>
        <v>520000</v>
      </c>
      <c r="F8" s="10">
        <f t="shared" si="5"/>
        <v>0.03</v>
      </c>
      <c r="G8" s="2">
        <f t="shared" si="6"/>
        <v>195000</v>
      </c>
      <c r="H8" s="11">
        <f t="shared" si="0"/>
        <v>1.4999999999999999E-2</v>
      </c>
    </row>
    <row r="9" spans="1:8">
      <c r="A9" s="2">
        <f t="shared" si="7"/>
        <v>12000000</v>
      </c>
      <c r="B9" s="2">
        <f t="shared" si="1"/>
        <v>1800000</v>
      </c>
      <c r="C9" s="2">
        <f t="shared" si="2"/>
        <v>360000</v>
      </c>
      <c r="D9" s="11">
        <f t="shared" si="3"/>
        <v>0.03</v>
      </c>
      <c r="E9" s="9">
        <f t="shared" si="4"/>
        <v>480000</v>
      </c>
      <c r="F9" s="10">
        <f t="shared" si="5"/>
        <v>0.03</v>
      </c>
      <c r="G9" s="2">
        <f t="shared" si="6"/>
        <v>180000</v>
      </c>
      <c r="H9" s="11">
        <f t="shared" si="0"/>
        <v>1.4999999999999999E-2</v>
      </c>
    </row>
    <row r="10" spans="1:8">
      <c r="A10" s="2">
        <f t="shared" si="7"/>
        <v>11000000</v>
      </c>
      <c r="B10" s="2">
        <f t="shared" si="1"/>
        <v>1650000</v>
      </c>
      <c r="C10" s="2">
        <f t="shared" si="2"/>
        <v>330000</v>
      </c>
      <c r="D10" s="11">
        <f t="shared" si="3"/>
        <v>0.03</v>
      </c>
      <c r="E10" s="9">
        <f t="shared" si="4"/>
        <v>440000</v>
      </c>
      <c r="F10" s="10">
        <f t="shared" si="5"/>
        <v>0.03</v>
      </c>
      <c r="G10" s="2">
        <f t="shared" si="6"/>
        <v>165000</v>
      </c>
      <c r="H10" s="11">
        <f t="shared" si="0"/>
        <v>1.4999999999999999E-2</v>
      </c>
    </row>
    <row r="11" spans="1:8">
      <c r="A11" s="2">
        <f t="shared" si="7"/>
        <v>10000000</v>
      </c>
      <c r="B11" s="2">
        <f t="shared" si="1"/>
        <v>1500000</v>
      </c>
      <c r="C11" s="2">
        <f t="shared" si="2"/>
        <v>300000</v>
      </c>
      <c r="D11" s="11">
        <f t="shared" si="3"/>
        <v>0.03</v>
      </c>
      <c r="E11" s="9">
        <f t="shared" si="4"/>
        <v>400000</v>
      </c>
      <c r="F11" s="10">
        <f t="shared" si="5"/>
        <v>0.03</v>
      </c>
      <c r="G11" s="2">
        <f t="shared" si="6"/>
        <v>150000</v>
      </c>
      <c r="H11" s="11">
        <f t="shared" si="0"/>
        <v>1.4999999999999999E-2</v>
      </c>
    </row>
    <row r="12" spans="1:8">
      <c r="A12" s="2">
        <f t="shared" si="7"/>
        <v>9000000</v>
      </c>
      <c r="B12" s="2">
        <f t="shared" si="1"/>
        <v>1350000</v>
      </c>
      <c r="C12" s="2">
        <f t="shared" si="2"/>
        <v>270000</v>
      </c>
      <c r="D12" s="11">
        <f t="shared" si="3"/>
        <v>0.03</v>
      </c>
      <c r="E12" s="9">
        <f t="shared" si="4"/>
        <v>360000</v>
      </c>
      <c r="F12" s="10">
        <f t="shared" si="5"/>
        <v>0.03</v>
      </c>
      <c r="G12" s="2">
        <f t="shared" si="6"/>
        <v>135000</v>
      </c>
      <c r="H12" s="11">
        <f t="shared" si="0"/>
        <v>1.4999999999999999E-2</v>
      </c>
    </row>
    <row r="13" spans="1:8">
      <c r="A13" s="2">
        <f t="shared" si="7"/>
        <v>8000000</v>
      </c>
      <c r="B13" s="2">
        <f t="shared" si="1"/>
        <v>1200000</v>
      </c>
      <c r="C13" s="2">
        <f t="shared" si="2"/>
        <v>240000</v>
      </c>
      <c r="D13" s="11">
        <f t="shared" si="3"/>
        <v>0.03</v>
      </c>
      <c r="E13" s="9">
        <f t="shared" si="4"/>
        <v>320000</v>
      </c>
      <c r="F13" s="10">
        <f t="shared" si="5"/>
        <v>0.03</v>
      </c>
      <c r="G13" s="2">
        <f t="shared" si="6"/>
        <v>120000</v>
      </c>
      <c r="H13" s="11">
        <f t="shared" si="0"/>
        <v>1.4999999999999999E-2</v>
      </c>
    </row>
    <row r="14" spans="1:8">
      <c r="A14" s="2">
        <f t="shared" si="7"/>
        <v>7000000</v>
      </c>
      <c r="B14" s="2">
        <f t="shared" si="1"/>
        <v>1050000</v>
      </c>
      <c r="C14" s="2">
        <f t="shared" si="2"/>
        <v>210000</v>
      </c>
      <c r="D14" s="11">
        <f t="shared" si="3"/>
        <v>0.03</v>
      </c>
      <c r="E14" s="9">
        <f t="shared" si="4"/>
        <v>280000</v>
      </c>
      <c r="F14" s="10">
        <f t="shared" si="5"/>
        <v>0.03</v>
      </c>
      <c r="G14" s="2">
        <f t="shared" si="6"/>
        <v>105000</v>
      </c>
      <c r="H14" s="11">
        <f t="shared" si="0"/>
        <v>1.4999999999999999E-2</v>
      </c>
    </row>
    <row r="15" spans="1:8">
      <c r="A15" s="2">
        <f t="shared" si="7"/>
        <v>6000000</v>
      </c>
      <c r="B15" s="2">
        <f t="shared" si="1"/>
        <v>900000</v>
      </c>
      <c r="C15" s="2">
        <f t="shared" si="2"/>
        <v>180000</v>
      </c>
      <c r="D15" s="11">
        <f t="shared" si="3"/>
        <v>0.03</v>
      </c>
      <c r="E15" s="9">
        <f t="shared" si="4"/>
        <v>240000</v>
      </c>
      <c r="F15" s="10">
        <f t="shared" si="5"/>
        <v>0.03</v>
      </c>
      <c r="G15" s="2">
        <f t="shared" si="6"/>
        <v>90000</v>
      </c>
      <c r="H15" s="11">
        <f t="shared" si="0"/>
        <v>1.4999999999999999E-2</v>
      </c>
    </row>
    <row r="16" spans="1:8">
      <c r="A16" s="2">
        <f t="shared" si="7"/>
        <v>5000000</v>
      </c>
      <c r="B16" s="2">
        <f t="shared" si="1"/>
        <v>750000</v>
      </c>
      <c r="C16" s="2">
        <f t="shared" si="2"/>
        <v>150000</v>
      </c>
      <c r="D16" s="11">
        <f t="shared" si="3"/>
        <v>0.03</v>
      </c>
      <c r="E16" s="9">
        <f t="shared" si="4"/>
        <v>200000</v>
      </c>
      <c r="F16" s="10">
        <f t="shared" si="5"/>
        <v>0.03</v>
      </c>
      <c r="G16" s="2">
        <f t="shared" si="6"/>
        <v>75000</v>
      </c>
      <c r="H16" s="11">
        <f t="shared" si="0"/>
        <v>1.4999999999999999E-2</v>
      </c>
    </row>
    <row r="17" spans="1:8">
      <c r="A17" s="2">
        <f t="shared" si="7"/>
        <v>4000000</v>
      </c>
      <c r="B17" s="2">
        <f t="shared" si="1"/>
        <v>600000</v>
      </c>
      <c r="C17" s="2">
        <f t="shared" si="2"/>
        <v>120000</v>
      </c>
      <c r="D17" s="11">
        <f t="shared" si="3"/>
        <v>0.03</v>
      </c>
      <c r="E17" s="9">
        <f t="shared" si="4"/>
        <v>160000</v>
      </c>
      <c r="F17" s="10">
        <f t="shared" si="5"/>
        <v>0.03</v>
      </c>
      <c r="G17" s="2">
        <f t="shared" si="6"/>
        <v>60000</v>
      </c>
      <c r="H17" s="11">
        <f t="shared" si="0"/>
        <v>1.4999999999999999E-2</v>
      </c>
    </row>
    <row r="18" spans="1:8">
      <c r="A18" s="2">
        <f t="shared" si="7"/>
        <v>3000000</v>
      </c>
      <c r="B18" s="2">
        <f t="shared" si="1"/>
        <v>450000</v>
      </c>
      <c r="C18" s="2">
        <f t="shared" si="2"/>
        <v>90000</v>
      </c>
      <c r="D18" s="11">
        <f t="shared" si="3"/>
        <v>0.03</v>
      </c>
      <c r="E18" s="9">
        <f t="shared" si="4"/>
        <v>120000</v>
      </c>
      <c r="F18" s="10">
        <f t="shared" si="5"/>
        <v>0.03</v>
      </c>
      <c r="G18" s="2">
        <f t="shared" si="6"/>
        <v>45000</v>
      </c>
      <c r="H18" s="11">
        <f t="shared" si="0"/>
        <v>1.4999999999999999E-2</v>
      </c>
    </row>
  </sheetData>
  <mergeCells count="2">
    <mergeCell ref="G1:H1"/>
    <mergeCell ref="C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13988-C4C1-4EE5-84AB-EA0A38BCDEFE}">
  <dimension ref="B2:C36"/>
  <sheetViews>
    <sheetView workbookViewId="0">
      <selection activeCell="F23" sqref="F23"/>
    </sheetView>
  </sheetViews>
  <sheetFormatPr defaultRowHeight="15"/>
  <cols>
    <col min="2" max="2" width="29.42578125" customWidth="1"/>
    <col min="3" max="3" width="31" customWidth="1"/>
  </cols>
  <sheetData>
    <row r="2" spans="2:3">
      <c r="B2" s="559" t="s">
        <v>33</v>
      </c>
      <c r="C2" s="559"/>
    </row>
    <row r="3" spans="2:3">
      <c r="B3" s="12"/>
      <c r="C3" s="12"/>
    </row>
    <row r="4" spans="2:3">
      <c r="B4" s="12" t="s">
        <v>11</v>
      </c>
      <c r="C4" s="13">
        <v>12000000</v>
      </c>
    </row>
    <row r="5" spans="2:3">
      <c r="B5" s="12" t="s">
        <v>12</v>
      </c>
      <c r="C5" s="13"/>
    </row>
    <row r="6" spans="2:3">
      <c r="B6" s="12" t="s">
        <v>13</v>
      </c>
      <c r="C6" s="14">
        <v>0</v>
      </c>
    </row>
    <row r="7" spans="2:3">
      <c r="B7" s="12" t="s">
        <v>14</v>
      </c>
      <c r="C7" s="15">
        <v>0.15</v>
      </c>
    </row>
    <row r="8" spans="2:3">
      <c r="B8" s="12" t="s">
        <v>15</v>
      </c>
      <c r="C8" s="16">
        <v>360</v>
      </c>
    </row>
    <row r="9" spans="2:3">
      <c r="B9" s="12" t="s">
        <v>16</v>
      </c>
      <c r="C9" s="17">
        <v>0</v>
      </c>
    </row>
    <row r="10" spans="2:3">
      <c r="B10" s="12" t="s">
        <v>17</v>
      </c>
      <c r="C10" s="18" t="s">
        <v>18</v>
      </c>
    </row>
    <row r="11" spans="2:3">
      <c r="B11" s="12" t="s">
        <v>19</v>
      </c>
      <c r="C11" s="14">
        <v>0.06</v>
      </c>
    </row>
    <row r="12" spans="2:3">
      <c r="B12" s="12" t="s">
        <v>36</v>
      </c>
      <c r="C12" s="16">
        <v>24</v>
      </c>
    </row>
    <row r="13" spans="2:3">
      <c r="B13" s="12"/>
      <c r="C13" s="12"/>
    </row>
    <row r="14" spans="2:3">
      <c r="B14" s="12" t="s">
        <v>26</v>
      </c>
      <c r="C14" s="12"/>
    </row>
    <row r="15" spans="2:3">
      <c r="B15" s="12" t="s">
        <v>20</v>
      </c>
      <c r="C15" s="22">
        <f>C4*(100%-C6)*(100%-C7)</f>
        <v>10200000</v>
      </c>
    </row>
    <row r="16" spans="2:3">
      <c r="B16" s="12" t="s">
        <v>22</v>
      </c>
      <c r="C16" s="22">
        <f>PMT(C11/12,C8,-C15)</f>
        <v>61154.153565580731</v>
      </c>
    </row>
    <row r="17" spans="2:3">
      <c r="B17" s="12" t="s">
        <v>26</v>
      </c>
      <c r="C17" s="23">
        <v>0.2</v>
      </c>
    </row>
    <row r="18" spans="2:3">
      <c r="B18" s="12" t="s">
        <v>34</v>
      </c>
      <c r="C18" s="22">
        <f>C16*C12</f>
        <v>1467699.6855739376</v>
      </c>
    </row>
    <row r="19" spans="2:3">
      <c r="B19" s="12" t="s">
        <v>37</v>
      </c>
      <c r="C19" s="22">
        <f>C18/(1-C17)</f>
        <v>1834624.6069674219</v>
      </c>
    </row>
    <row r="20" spans="2:3">
      <c r="B20" s="12" t="s">
        <v>38</v>
      </c>
      <c r="C20" s="20">
        <f>C19/C15</f>
        <v>0.17986515754582569</v>
      </c>
    </row>
    <row r="21" spans="2:3">
      <c r="B21" s="12" t="s">
        <v>35</v>
      </c>
      <c r="C21" s="20">
        <f>(1-(100%-C7)*C20)</f>
        <v>0.8471146160860481</v>
      </c>
    </row>
    <row r="22" spans="2:3">
      <c r="B22" s="12" t="s">
        <v>21</v>
      </c>
      <c r="C22" s="20">
        <f>C19/C15</f>
        <v>0.17986515754582569</v>
      </c>
    </row>
    <row r="23" spans="2:3">
      <c r="B23" s="12" t="s">
        <v>23</v>
      </c>
      <c r="C23" s="22">
        <f>C19/C21</f>
        <v>2165733.6234428338</v>
      </c>
    </row>
    <row r="24" spans="2:3">
      <c r="B24" s="12"/>
      <c r="C24" s="12"/>
    </row>
    <row r="25" spans="2:3">
      <c r="B25" s="12" t="s">
        <v>24</v>
      </c>
      <c r="C25" s="21">
        <f>(C4*(100%-C6)+C23)</f>
        <v>14165733.623442834</v>
      </c>
    </row>
    <row r="26" spans="2:3">
      <c r="B26" s="12" t="s">
        <v>30</v>
      </c>
      <c r="C26" s="22">
        <f>(C4*(100%-C6)+C23)*(100%-C7)</f>
        <v>12040873.579926409</v>
      </c>
    </row>
    <row r="27" spans="2:3">
      <c r="B27" s="12" t="s">
        <v>22</v>
      </c>
      <c r="C27" s="25">
        <f>PMT(C11/12,C8,-C26)</f>
        <v>72191.120781427788</v>
      </c>
    </row>
    <row r="28" spans="2:3">
      <c r="B28" s="12" t="s">
        <v>34</v>
      </c>
      <c r="C28" s="25">
        <f>C27*C12</f>
        <v>1732586.898754267</v>
      </c>
    </row>
    <row r="29" spans="2:3">
      <c r="B29" s="12"/>
      <c r="C29" s="22"/>
    </row>
    <row r="30" spans="2:3">
      <c r="B30" s="12" t="s">
        <v>25</v>
      </c>
      <c r="C30" s="24" t="str">
        <f>IF(C28+C31=C23,"верно","ошибка")</f>
        <v>верно</v>
      </c>
    </row>
    <row r="31" spans="2:3">
      <c r="B31" s="12" t="s">
        <v>26</v>
      </c>
      <c r="C31" s="22">
        <f>C23*C17</f>
        <v>433146.72468856676</v>
      </c>
    </row>
    <row r="32" spans="2:3">
      <c r="B32" s="12" t="s">
        <v>27</v>
      </c>
      <c r="C32" s="22">
        <f>C28+C31</f>
        <v>2165733.6234428338</v>
      </c>
    </row>
    <row r="33" spans="2:3">
      <c r="B33" s="12"/>
      <c r="C33" s="22"/>
    </row>
    <row r="34" spans="2:3">
      <c r="B34" s="12" t="s">
        <v>29</v>
      </c>
      <c r="C34" s="20">
        <f>(C26-C28)/C4-100%</f>
        <v>-0.14097610990232157</v>
      </c>
    </row>
    <row r="35" spans="2:3">
      <c r="B35" s="12" t="s">
        <v>28</v>
      </c>
      <c r="C35" s="22">
        <f>C26-C4</f>
        <v>40873.579926408827</v>
      </c>
    </row>
    <row r="36" spans="2:3">
      <c r="B36" s="12" t="s">
        <v>31</v>
      </c>
      <c r="C36" s="20">
        <f>C35/C4*(-1)</f>
        <v>-3.406131660534069E-3</v>
      </c>
    </row>
  </sheetData>
  <mergeCells count="1">
    <mergeCell ref="B2:C2"/>
  </mergeCells>
  <dataValidations count="1">
    <dataValidation type="list" allowBlank="1" showInputMessage="1" showErrorMessage="1" sqref="C10" xr:uid="{F8E6F8CC-B936-4C3F-859F-8B540CA81165}">
      <formula1>"Да,Нет"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67E2F-BD05-47EC-AB11-E628EB8DA1F5}">
  <dimension ref="A1:X80"/>
  <sheetViews>
    <sheetView zoomScale="85" zoomScaleNormal="85" workbookViewId="0">
      <selection activeCell="D4" sqref="D4:D6"/>
    </sheetView>
  </sheetViews>
  <sheetFormatPr defaultRowHeight="15" outlineLevelRow="1" outlineLevelCol="1"/>
  <cols>
    <col min="1" max="1" width="26.5703125" customWidth="1"/>
    <col min="2" max="2" width="8.42578125" style="54" customWidth="1" outlineLevel="1"/>
    <col min="3" max="3" width="54" style="54" customWidth="1" outlineLevel="1"/>
    <col min="4" max="4" width="35.42578125" customWidth="1" outlineLevel="1"/>
    <col min="5" max="5" width="23.5703125" style="54" customWidth="1" outlineLevel="1"/>
    <col min="6" max="6" width="23.42578125" style="54" customWidth="1" outlineLevel="1"/>
    <col min="7" max="7" width="19.5703125" style="54" customWidth="1" outlineLevel="1"/>
    <col min="8" max="8" width="25.5703125" style="35" customWidth="1"/>
    <col min="9" max="24" width="23.5703125" customWidth="1"/>
  </cols>
  <sheetData>
    <row r="1" spans="1:24">
      <c r="A1" s="12"/>
      <c r="B1" s="45"/>
      <c r="C1" s="76"/>
      <c r="D1" s="76"/>
      <c r="E1" s="76"/>
      <c r="F1" s="128"/>
      <c r="G1" s="45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51.75" customHeight="1">
      <c r="A2" s="12"/>
      <c r="B2" s="121"/>
      <c r="C2" s="524" t="s">
        <v>84</v>
      </c>
      <c r="D2" s="524"/>
      <c r="E2" s="524"/>
      <c r="F2" s="128"/>
      <c r="G2" s="45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>
      <c r="A3" s="12"/>
      <c r="B3" s="45"/>
      <c r="C3" s="46"/>
      <c r="D3" s="55"/>
      <c r="E3" s="45"/>
      <c r="F3" s="128"/>
      <c r="G3" s="45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>
      <c r="A4" s="12"/>
      <c r="B4" s="45"/>
      <c r="C4" s="46" t="s">
        <v>11</v>
      </c>
      <c r="D4" s="59">
        <v>13215550</v>
      </c>
      <c r="E4" s="45"/>
      <c r="F4" s="128"/>
      <c r="G4" s="45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>
      <c r="A5" s="12"/>
      <c r="B5" s="45"/>
      <c r="C5" s="46" t="s">
        <v>12</v>
      </c>
      <c r="D5" s="59">
        <v>0</v>
      </c>
      <c r="E5" s="45"/>
      <c r="F5" s="128"/>
      <c r="G5" s="4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>
      <c r="A6" s="12"/>
      <c r="B6" s="45"/>
      <c r="C6" s="50" t="s">
        <v>104</v>
      </c>
      <c r="D6" s="127">
        <v>0.14000000000000001</v>
      </c>
      <c r="E6" s="103" t="s">
        <v>72</v>
      </c>
      <c r="F6" s="135">
        <f>D4*(100%-D6)</f>
        <v>11365373</v>
      </c>
      <c r="G6" s="45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s="105" customFormat="1" ht="21">
      <c r="A7" s="30"/>
      <c r="B7" s="120"/>
      <c r="C7" s="50" t="s">
        <v>103</v>
      </c>
      <c r="D7" s="79">
        <f>D6-3%</f>
        <v>0.11000000000000001</v>
      </c>
      <c r="E7" s="103"/>
      <c r="F7" s="129"/>
      <c r="G7" s="120"/>
      <c r="H7" s="30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>
      <c r="A8" s="12"/>
      <c r="B8" s="45"/>
      <c r="C8" s="46" t="s">
        <v>43</v>
      </c>
      <c r="D8" s="80">
        <v>0.15</v>
      </c>
      <c r="E8" s="77"/>
      <c r="F8" s="128"/>
      <c r="G8" s="45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>
      <c r="A9" s="12"/>
      <c r="B9" s="45"/>
      <c r="C9" s="46" t="s">
        <v>15</v>
      </c>
      <c r="D9" s="81">
        <v>360</v>
      </c>
      <c r="E9" s="77"/>
      <c r="F9" s="130"/>
      <c r="G9" s="77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>
      <c r="A10" s="12"/>
      <c r="B10" s="46"/>
      <c r="C10" s="46" t="s">
        <v>19</v>
      </c>
      <c r="D10" s="82">
        <v>5.7000000000000002E-2</v>
      </c>
      <c r="E10" s="45"/>
      <c r="F10" s="128"/>
      <c r="G10" s="45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>
      <c r="A11" s="12"/>
      <c r="B11" s="46"/>
      <c r="C11" s="46"/>
      <c r="D11" s="82"/>
      <c r="E11" s="45"/>
      <c r="F11" s="128"/>
      <c r="G11" s="45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>
      <c r="A12" s="12"/>
      <c r="B12" s="46"/>
      <c r="C12" s="46" t="s">
        <v>105</v>
      </c>
      <c r="D12" s="59">
        <f>D4*(D6-D7)</f>
        <v>396466.5</v>
      </c>
      <c r="E12" s="45"/>
      <c r="F12" s="128"/>
      <c r="G12" s="45"/>
      <c r="H12" s="12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t="36.75" customHeight="1">
      <c r="A13" s="12"/>
      <c r="B13" s="46"/>
      <c r="C13" s="46" t="s">
        <v>102</v>
      </c>
      <c r="D13" s="47">
        <f>D4*(100%-D7)</f>
        <v>11761839.5</v>
      </c>
      <c r="E13" s="45"/>
      <c r="F13" s="128"/>
      <c r="G13" s="45"/>
      <c r="H13" s="12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>
      <c r="A14" s="12"/>
      <c r="B14" s="46"/>
      <c r="C14" s="46"/>
      <c r="D14" s="82"/>
      <c r="E14" s="45"/>
      <c r="F14" s="128"/>
      <c r="G14" s="45"/>
      <c r="H14" s="12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>
      <c r="A15" s="12"/>
      <c r="B15" s="46"/>
      <c r="C15" s="46"/>
      <c r="D15" s="82"/>
      <c r="E15" s="45"/>
      <c r="F15" s="128"/>
      <c r="G15" s="45"/>
      <c r="H15" s="12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>
      <c r="A16" s="12"/>
      <c r="B16" s="46"/>
      <c r="C16" s="46" t="s">
        <v>51</v>
      </c>
      <c r="D16" s="47">
        <f>D4*(100%-D7)*(100%-D8)</f>
        <v>9997563.5749999993</v>
      </c>
      <c r="E16" s="47"/>
      <c r="F16" s="131"/>
      <c r="G16" s="47"/>
      <c r="H16" s="12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>
      <c r="A17" s="12"/>
      <c r="B17" s="46"/>
      <c r="C17" s="46" t="s">
        <v>52</v>
      </c>
      <c r="D17" s="62">
        <f>PMT(D10/12,D9,-D16)</f>
        <v>58025.90173547728</v>
      </c>
      <c r="E17" s="45"/>
      <c r="F17" s="128"/>
      <c r="G17" s="45"/>
      <c r="H17" s="12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outlineLevel="1">
      <c r="A18" s="12"/>
      <c r="B18" s="46"/>
      <c r="C18" s="46" t="s">
        <v>50</v>
      </c>
      <c r="D18" s="47">
        <f>D4*(100%-D7)*D8</f>
        <v>1764275.925</v>
      </c>
      <c r="E18" s="45"/>
      <c r="F18" s="128"/>
      <c r="G18" s="45"/>
      <c r="H18" s="12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outlineLevel="1">
      <c r="A19" s="12"/>
      <c r="B19" s="46"/>
      <c r="C19" s="46" t="s">
        <v>56</v>
      </c>
      <c r="D19" s="64">
        <f>(1-(100%-D8)*D20)</f>
        <v>0.85</v>
      </c>
      <c r="E19" s="45"/>
      <c r="F19" s="128"/>
      <c r="G19" s="45"/>
      <c r="H19" s="12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outlineLevel="1">
      <c r="A20" s="12"/>
      <c r="B20" s="46"/>
      <c r="C20" s="46" t="s">
        <v>32</v>
      </c>
      <c r="D20" s="63">
        <f>D18/D16</f>
        <v>0.17647058823529413</v>
      </c>
      <c r="E20" s="93" t="s">
        <v>65</v>
      </c>
      <c r="F20" s="128"/>
      <c r="G20" s="45"/>
      <c r="H20" s="12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outlineLevel="1">
      <c r="A21" s="12"/>
      <c r="B21" s="46"/>
      <c r="C21" s="46" t="s">
        <v>64</v>
      </c>
      <c r="D21" s="125">
        <f>D18/D19</f>
        <v>2075618.7352941178</v>
      </c>
      <c r="E21" s="45"/>
      <c r="F21" s="128"/>
      <c r="G21" s="45"/>
      <c r="H21" s="12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>
      <c r="A22" s="12"/>
      <c r="B22" s="46"/>
      <c r="C22" s="132"/>
      <c r="D22" s="133"/>
      <c r="E22" s="90"/>
      <c r="F22" s="134"/>
      <c r="G22" s="132"/>
      <c r="H22" s="12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>
      <c r="A23" s="12"/>
      <c r="B23" s="46"/>
      <c r="C23" s="49" t="s">
        <v>24</v>
      </c>
      <c r="D23" s="66">
        <f>(D4*(100%-D7)+D21)</f>
        <v>13837458.235294119</v>
      </c>
      <c r="E23" s="90"/>
      <c r="F23" s="135"/>
      <c r="G23" s="90"/>
      <c r="H23" s="12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>
      <c r="A24" s="12"/>
      <c r="B24" s="46"/>
      <c r="C24" s="49" t="s">
        <v>30</v>
      </c>
      <c r="D24" s="67">
        <f>D23*(100%-D8)</f>
        <v>11761839.5</v>
      </c>
      <c r="E24" s="90"/>
      <c r="F24" s="126"/>
      <c r="G24" s="67"/>
      <c r="H24" s="12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ht="18" customHeight="1">
      <c r="A25" s="12"/>
      <c r="B25" s="46"/>
      <c r="C25" s="49" t="s">
        <v>45</v>
      </c>
      <c r="D25" s="67">
        <f>D23-D24</f>
        <v>2075618.7352941185</v>
      </c>
      <c r="E25" s="90"/>
      <c r="F25" s="126"/>
      <c r="G25" s="67"/>
      <c r="H25" s="12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>
      <c r="A26" s="12"/>
      <c r="B26" s="46"/>
      <c r="C26" s="49" t="s">
        <v>46</v>
      </c>
      <c r="D26" s="68">
        <f>D25/D23</f>
        <v>0.15000000000000005</v>
      </c>
      <c r="E26" s="90"/>
      <c r="F26" s="126"/>
      <c r="G26" s="67"/>
      <c r="H26" s="12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>
      <c r="A27" s="12"/>
      <c r="B27" s="46"/>
      <c r="C27" s="49" t="s">
        <v>22</v>
      </c>
      <c r="D27" s="87">
        <f>PMT(D10/12,D9,-D24)</f>
        <v>68265.766747620335</v>
      </c>
      <c r="E27" s="90"/>
      <c r="F27" s="126"/>
      <c r="G27" s="67"/>
      <c r="H27" s="12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ht="28.5" customHeight="1">
      <c r="A28" s="12"/>
      <c r="B28" s="46"/>
      <c r="C28" s="49" t="s">
        <v>57</v>
      </c>
      <c r="D28" s="85">
        <f>(D23*D8)</f>
        <v>2075618.7352941176</v>
      </c>
      <c r="E28" s="90"/>
      <c r="F28" s="126"/>
      <c r="G28" s="67"/>
      <c r="H28" s="12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>
      <c r="A29" s="12"/>
      <c r="B29" s="46"/>
      <c r="C29" s="50" t="s">
        <v>106</v>
      </c>
      <c r="D29" s="67">
        <f>IF(D28&gt;5000000,(5000000*13%+(D28-5000000)*15%),D28*13%)</f>
        <v>269830.43558823527</v>
      </c>
      <c r="E29" s="90"/>
      <c r="F29" s="126"/>
      <c r="G29" s="67"/>
      <c r="H29" s="12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>
      <c r="A30" s="12"/>
      <c r="B30" s="46"/>
      <c r="C30" s="50" t="s">
        <v>107</v>
      </c>
      <c r="D30" s="67">
        <f>D12-D29</f>
        <v>126636.06441176473</v>
      </c>
      <c r="E30" s="90"/>
      <c r="F30" s="126"/>
      <c r="G30" s="67"/>
      <c r="H30" s="12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>
      <c r="A31" s="12"/>
      <c r="B31" s="46"/>
      <c r="C31" s="49" t="s">
        <v>25</v>
      </c>
      <c r="D31" s="86" t="str">
        <f>IF(D28=D21,"верно","ошибка")</f>
        <v>верно</v>
      </c>
      <c r="E31" s="90"/>
      <c r="F31" s="126"/>
      <c r="G31" s="67"/>
      <c r="H31" s="12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>
      <c r="A32" s="12"/>
      <c r="B32" s="46"/>
      <c r="C32" s="49"/>
      <c r="D32" s="49"/>
      <c r="E32" s="90"/>
      <c r="F32" s="126"/>
      <c r="G32" s="67"/>
      <c r="H32" s="12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outlineLevel="1">
      <c r="A33" s="12"/>
      <c r="B33" s="46"/>
      <c r="C33" s="49"/>
      <c r="D33" s="49"/>
      <c r="E33" s="90"/>
      <c r="F33" s="134"/>
      <c r="G33" s="132"/>
      <c r="H33" s="12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outlineLevel="1">
      <c r="A34" s="12"/>
      <c r="B34" s="46"/>
      <c r="C34" s="49"/>
      <c r="D34" s="49"/>
      <c r="E34" s="132"/>
      <c r="F34" s="128"/>
      <c r="G34" s="45"/>
      <c r="H34" s="12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outlineLevel="1">
      <c r="A35" s="12"/>
      <c r="B35" s="46"/>
      <c r="C35" s="49"/>
      <c r="D35" s="49"/>
      <c r="E35" s="90"/>
      <c r="F35" s="128"/>
      <c r="G35" s="45"/>
      <c r="H35" s="12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outlineLevel="1">
      <c r="A36" s="12"/>
      <c r="B36" s="46"/>
      <c r="C36" s="49"/>
      <c r="D36" s="49"/>
      <c r="E36" s="90"/>
      <c r="F36" s="128"/>
      <c r="G36" s="45"/>
      <c r="H36" s="12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ht="27" customHeight="1">
      <c r="A37" s="12"/>
      <c r="B37" s="46"/>
      <c r="C37" s="49"/>
      <c r="D37" s="86"/>
      <c r="E37" s="90"/>
      <c r="F37" s="128"/>
      <c r="G37" s="45"/>
      <c r="H37" s="12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>
      <c r="A38" s="12"/>
      <c r="B38" s="46"/>
      <c r="C38" s="46"/>
      <c r="D38" s="45"/>
      <c r="E38" s="132"/>
      <c r="F38" s="128"/>
      <c r="G38" s="45"/>
      <c r="H38" s="12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>
      <c r="A39" s="12"/>
      <c r="B39" s="46"/>
      <c r="C39" s="525" t="s">
        <v>41</v>
      </c>
      <c r="D39" s="525"/>
      <c r="E39" s="132"/>
      <c r="F39" s="128"/>
      <c r="G39" s="45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>
      <c r="A40" s="12"/>
      <c r="B40" s="46"/>
      <c r="C40" s="46" t="s">
        <v>42</v>
      </c>
      <c r="D40" s="84">
        <f>D27-D17</f>
        <v>10239.865012143055</v>
      </c>
      <c r="E40" s="45"/>
      <c r="F40" s="128"/>
      <c r="G40" s="45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>
      <c r="A41" s="12"/>
      <c r="B41" s="46"/>
      <c r="C41" s="46" t="s">
        <v>54</v>
      </c>
      <c r="D41" s="48">
        <f>D29/D40</f>
        <v>26.350975844725877</v>
      </c>
      <c r="E41" s="45"/>
      <c r="F41" s="128"/>
      <c r="G41" s="45"/>
      <c r="H41" s="83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>
      <c r="A42" s="12"/>
      <c r="B42" s="46"/>
      <c r="C42" s="46" t="s">
        <v>55</v>
      </c>
      <c r="D42" s="48">
        <f>D41/12</f>
        <v>2.1959146537271566</v>
      </c>
      <c r="E42" s="45"/>
      <c r="F42" s="128"/>
      <c r="G42" s="45"/>
      <c r="H42" s="83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</row>
    <row r="43" spans="1:24">
      <c r="A43" s="12"/>
      <c r="B43" s="46"/>
      <c r="C43" s="46"/>
      <c r="D43" s="46"/>
      <c r="E43" s="45"/>
      <c r="F43" s="128"/>
      <c r="G43" s="45"/>
      <c r="H43" s="12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</row>
    <row r="44" spans="1:24">
      <c r="A44" s="12"/>
      <c r="B44" s="45"/>
      <c r="C44" s="46" t="s">
        <v>29</v>
      </c>
      <c r="D44" s="63">
        <f>(D24-D28)/D4-100%</f>
        <v>-0.26705882352941179</v>
      </c>
      <c r="E44" s="45"/>
      <c r="F44" s="128"/>
      <c r="G44" s="45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>
      <c r="A45" s="12"/>
      <c r="B45" s="45"/>
      <c r="C45" s="46" t="s">
        <v>28</v>
      </c>
      <c r="D45" s="65">
        <f>D23-D4</f>
        <v>621908.23529411852</v>
      </c>
      <c r="E45" s="45"/>
      <c r="F45" s="128"/>
      <c r="G45" s="45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>
      <c r="A46" s="12"/>
      <c r="B46" s="45"/>
      <c r="C46" s="46" t="s">
        <v>31</v>
      </c>
      <c r="D46" s="63">
        <f>D45/D4*(-1)</f>
        <v>-4.7058823529411833E-2</v>
      </c>
      <c r="E46" s="45"/>
      <c r="F46" s="128"/>
      <c r="G46" s="45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>
      <c r="A47" s="12"/>
      <c r="B47" s="45"/>
      <c r="C47" s="46"/>
      <c r="D47" s="63"/>
      <c r="E47" s="45"/>
      <c r="F47" s="128"/>
      <c r="G47" s="45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>
      <c r="A48" s="12"/>
      <c r="B48" s="45"/>
      <c r="C48" s="45"/>
      <c r="D48" s="45"/>
      <c r="E48" s="45"/>
      <c r="F48" s="128"/>
      <c r="G48" s="45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>
      <c r="A49" s="12"/>
      <c r="B49" s="45"/>
      <c r="C49" s="45"/>
      <c r="D49" s="45"/>
      <c r="E49" s="45"/>
      <c r="F49" s="128"/>
      <c r="G49" s="45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>
      <c r="A50" s="12"/>
      <c r="B50" s="53"/>
      <c r="C50" s="45"/>
      <c r="D50" s="45"/>
      <c r="E50" s="53"/>
      <c r="F50" s="53"/>
      <c r="G50" s="53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>
      <c r="A51" s="12"/>
      <c r="B51" s="53"/>
      <c r="C51" s="45"/>
      <c r="D51" s="45"/>
      <c r="E51" s="53"/>
      <c r="F51" s="53"/>
      <c r="G51" s="53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>
      <c r="A52" s="12"/>
      <c r="B52" s="45"/>
      <c r="C52" s="53"/>
      <c r="D52" s="53"/>
      <c r="E52" s="45"/>
      <c r="F52" s="128"/>
      <c r="G52" s="45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>
      <c r="A53" s="12"/>
      <c r="B53" s="45"/>
      <c r="C53" s="53"/>
      <c r="D53" s="53"/>
      <c r="E53" s="45"/>
      <c r="F53" s="128"/>
      <c r="G53" s="45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>
      <c r="A54" s="12"/>
      <c r="B54" s="45"/>
      <c r="C54" s="45"/>
      <c r="D54" s="45"/>
      <c r="E54" s="45"/>
      <c r="F54" s="128"/>
      <c r="G54" s="45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>
      <c r="A55" s="12"/>
      <c r="B55" s="45"/>
      <c r="C55" s="45"/>
      <c r="D55" s="45"/>
      <c r="E55" s="45"/>
      <c r="F55" s="128"/>
      <c r="G55" s="45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>
      <c r="A56" s="12"/>
      <c r="B56" s="45"/>
      <c r="C56" s="45"/>
      <c r="D56" s="45"/>
      <c r="E56" s="45"/>
      <c r="F56" s="128"/>
      <c r="G56" s="45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>
      <c r="A57" s="12"/>
      <c r="B57" s="45"/>
      <c r="C57" s="45"/>
      <c r="D57" s="45"/>
      <c r="E57" s="45"/>
      <c r="F57" s="128"/>
      <c r="G57" s="45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>
      <c r="A58" s="12"/>
      <c r="B58" s="45"/>
      <c r="C58" s="45"/>
      <c r="D58" s="45"/>
      <c r="E58" s="45"/>
      <c r="F58" s="128"/>
      <c r="G58" s="45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>
      <c r="A59" s="12"/>
      <c r="B59" s="45"/>
      <c r="C59" s="45"/>
      <c r="D59" s="45"/>
      <c r="E59" s="45"/>
      <c r="F59" s="128"/>
      <c r="G59" s="45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>
      <c r="A60" s="12"/>
      <c r="B60" s="45"/>
      <c r="C60" s="45"/>
      <c r="D60" s="45"/>
      <c r="E60" s="45"/>
      <c r="F60" s="128"/>
      <c r="G60" s="45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>
      <c r="A61" s="12"/>
      <c r="B61" s="45"/>
      <c r="C61" s="45"/>
      <c r="D61" s="45"/>
      <c r="E61" s="45"/>
      <c r="F61" s="128"/>
      <c r="G61" s="45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>
      <c r="A62" s="12"/>
      <c r="B62" s="45"/>
      <c r="C62" s="45"/>
      <c r="D62" s="45"/>
      <c r="E62" s="45"/>
      <c r="F62" s="128"/>
      <c r="G62" s="45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>
      <c r="A63" s="12"/>
      <c r="B63" s="45"/>
      <c r="C63" s="45"/>
      <c r="D63" s="45"/>
      <c r="E63" s="45"/>
      <c r="F63" s="128"/>
      <c r="G63" s="45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>
      <c r="A64" s="12"/>
      <c r="B64" s="45"/>
      <c r="C64" s="45"/>
      <c r="D64" s="45"/>
      <c r="E64" s="45"/>
      <c r="F64" s="128"/>
      <c r="G64" s="45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>
      <c r="A65" s="12"/>
      <c r="B65" s="45"/>
      <c r="C65" s="45"/>
      <c r="D65" s="45"/>
      <c r="E65" s="45"/>
      <c r="F65" s="128"/>
      <c r="G65" s="45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>
      <c r="A66" s="12"/>
      <c r="B66" s="45"/>
      <c r="C66" s="45"/>
      <c r="D66" s="45"/>
      <c r="E66" s="45"/>
      <c r="F66" s="128"/>
      <c r="G66" s="45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>
      <c r="A67" s="12"/>
      <c r="B67" s="45"/>
      <c r="C67" s="45"/>
      <c r="D67" s="45"/>
      <c r="E67" s="45"/>
      <c r="F67" s="128"/>
      <c r="G67" s="45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>
      <c r="A68" s="12"/>
      <c r="B68" s="45"/>
      <c r="C68" s="45"/>
      <c r="D68" s="45"/>
      <c r="E68" s="45"/>
      <c r="F68" s="128"/>
      <c r="G68" s="45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>
      <c r="A69" s="12"/>
      <c r="B69" s="45"/>
      <c r="C69" s="45"/>
      <c r="D69" s="45"/>
      <c r="E69" s="45"/>
      <c r="F69" s="128"/>
      <c r="G69" s="45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>
      <c r="B70" s="45"/>
      <c r="C70" s="45"/>
      <c r="D70" s="45"/>
      <c r="E70" s="45"/>
      <c r="F70" s="128"/>
      <c r="G70" s="45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>
      <c r="B71" s="45"/>
      <c r="C71" s="45"/>
      <c r="D71" s="45"/>
      <c r="E71" s="45"/>
      <c r="F71" s="128"/>
      <c r="G71" s="45"/>
    </row>
    <row r="72" spans="1:24">
      <c r="B72" s="45"/>
      <c r="C72" s="45"/>
      <c r="D72" s="45"/>
      <c r="E72" s="45"/>
      <c r="F72" s="128"/>
      <c r="G72" s="45"/>
    </row>
    <row r="73" spans="1:24">
      <c r="B73" s="45"/>
      <c r="C73" s="45"/>
      <c r="D73" s="45"/>
      <c r="E73" s="45"/>
      <c r="F73" s="128"/>
      <c r="G73" s="45"/>
    </row>
    <row r="74" spans="1:24">
      <c r="B74" s="45"/>
      <c r="C74" s="45"/>
      <c r="D74" s="45"/>
      <c r="E74" s="45"/>
      <c r="F74" s="128"/>
      <c r="G74" s="45"/>
    </row>
    <row r="75" spans="1:24">
      <c r="B75" s="45"/>
      <c r="C75" s="45"/>
      <c r="D75" s="45"/>
      <c r="E75" s="45"/>
      <c r="F75" s="128"/>
      <c r="G75" s="45"/>
    </row>
    <row r="76" spans="1:24">
      <c r="B76" s="45"/>
      <c r="C76" s="45"/>
      <c r="D76" s="45"/>
      <c r="E76" s="45"/>
      <c r="F76" s="128"/>
      <c r="G76" s="45"/>
    </row>
    <row r="77" spans="1:24">
      <c r="B77" s="45"/>
      <c r="C77" s="45"/>
      <c r="D77" s="45"/>
      <c r="E77" s="45"/>
      <c r="F77" s="128"/>
      <c r="G77" s="45"/>
    </row>
    <row r="78" spans="1:24">
      <c r="B78" s="45"/>
      <c r="C78" s="45"/>
      <c r="D78" s="45"/>
      <c r="E78" s="45"/>
      <c r="F78" s="128"/>
      <c r="G78" s="45"/>
    </row>
    <row r="79" spans="1:24">
      <c r="C79" s="45"/>
      <c r="D79" s="45"/>
    </row>
    <row r="80" spans="1:24">
      <c r="C80" s="45"/>
      <c r="D80" s="45"/>
    </row>
  </sheetData>
  <mergeCells count="2">
    <mergeCell ref="C39:D39"/>
    <mergeCell ref="C2:E2"/>
  </mergeCells>
  <pageMargins left="0.7" right="0.7" top="0.75" bottom="0.75" header="0.3" footer="0.3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67029-8406-45B0-B1B7-9EB913814F2F}">
  <dimension ref="A1:AB83"/>
  <sheetViews>
    <sheetView tabSelected="1" zoomScale="80" zoomScaleNormal="80" workbookViewId="0">
      <selection activeCell="F86" sqref="F86"/>
    </sheetView>
  </sheetViews>
  <sheetFormatPr defaultRowHeight="15" outlineLevelRow="1" outlineLevelCol="1"/>
  <cols>
    <col min="1" max="1" width="11" style="54" customWidth="1"/>
    <col min="2" max="2" width="8.42578125" style="54" customWidth="1" outlineLevel="1"/>
    <col min="3" max="3" width="58.5703125" style="54" customWidth="1" outlineLevel="1"/>
    <col min="4" max="4" width="35.42578125" style="54" customWidth="1" outlineLevel="1"/>
    <col min="5" max="5" width="17.5703125" style="54" customWidth="1" outlineLevel="1"/>
    <col min="6" max="6" width="22.42578125" style="54" customWidth="1" outlineLevel="1"/>
    <col min="7" max="7" width="38.5703125" style="54" customWidth="1" outlineLevel="1"/>
    <col min="8" max="8" width="12.42578125" style="12" customWidth="1"/>
    <col min="9" max="9" width="23.5703125" style="12" customWidth="1"/>
    <col min="10" max="10" width="55.42578125" style="12" customWidth="1"/>
    <col min="11" max="28" width="23.5703125" style="12" customWidth="1"/>
  </cols>
  <sheetData>
    <row r="1" spans="1:28">
      <c r="A1" s="45"/>
      <c r="B1" s="45"/>
      <c r="C1" s="76"/>
      <c r="D1" s="76"/>
      <c r="E1" s="76"/>
      <c r="F1" s="76"/>
      <c r="G1" s="45"/>
    </row>
    <row r="2" spans="1:28" ht="51.75" customHeight="1" thickBot="1">
      <c r="A2" s="45"/>
      <c r="B2" s="121"/>
      <c r="C2" s="524" t="s">
        <v>384</v>
      </c>
      <c r="D2" s="524"/>
      <c r="E2" s="524"/>
      <c r="F2" s="524"/>
      <c r="G2" s="45"/>
      <c r="H2" s="28"/>
      <c r="I2" s="529" t="s">
        <v>117</v>
      </c>
      <c r="J2" s="529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28" ht="13.5" customHeight="1">
      <c r="A3" s="45"/>
      <c r="B3" s="121"/>
      <c r="C3" s="160"/>
      <c r="D3" s="161"/>
      <c r="E3" s="476"/>
      <c r="F3" s="476"/>
      <c r="G3" s="45"/>
      <c r="H3" s="28"/>
      <c r="I3" s="158"/>
      <c r="J3" s="15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8" ht="13.5" customHeight="1">
      <c r="A4" s="45"/>
      <c r="B4" s="121"/>
      <c r="C4" s="162" t="s">
        <v>274</v>
      </c>
      <c r="D4" s="386" t="s">
        <v>399</v>
      </c>
      <c r="E4" s="394" t="str">
        <f>D4</f>
        <v>Кэшбэк 2.0 (потреб. кредит)</v>
      </c>
      <c r="F4" s="476"/>
      <c r="G4" s="45"/>
      <c r="H4" s="28"/>
      <c r="I4" s="158"/>
      <c r="J4" s="15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spans="1:28">
      <c r="A5" s="45"/>
      <c r="B5" s="45"/>
      <c r="C5" s="162" t="s">
        <v>13</v>
      </c>
      <c r="D5" s="337"/>
      <c r="E5" s="517">
        <f>ROUND(D5*D6,0)</f>
        <v>0</v>
      </c>
      <c r="F5" s="477"/>
      <c r="G5" s="45"/>
    </row>
    <row r="6" spans="1:28">
      <c r="A6" s="45"/>
      <c r="B6" s="45"/>
      <c r="C6" s="162" t="s">
        <v>11</v>
      </c>
      <c r="D6" s="449">
        <v>8000000</v>
      </c>
      <c r="E6" s="478"/>
      <c r="F6" s="530"/>
      <c r="G6" s="530"/>
      <c r="I6" s="32">
        <f>I20/(100%-D5)</f>
        <v>11667785.477651915</v>
      </c>
      <c r="J6" s="12" t="s">
        <v>120</v>
      </c>
    </row>
    <row r="7" spans="1:28">
      <c r="A7" s="45"/>
      <c r="B7" s="45"/>
      <c r="C7" s="162" t="s">
        <v>12</v>
      </c>
      <c r="D7" s="449">
        <v>15000</v>
      </c>
      <c r="E7" s="478"/>
      <c r="F7" s="530"/>
      <c r="G7" s="530"/>
    </row>
    <row r="8" spans="1:28" s="105" customFormat="1" ht="17.25" customHeight="1">
      <c r="A8" s="120"/>
      <c r="B8" s="120"/>
      <c r="C8" s="281" t="s">
        <v>173</v>
      </c>
      <c r="D8" s="286" t="s">
        <v>316</v>
      </c>
      <c r="E8" s="479"/>
      <c r="F8" s="480"/>
      <c r="G8" s="48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105" customFormat="1" ht="17.25" hidden="1" customHeight="1">
      <c r="A9" s="120"/>
      <c r="B9" s="120"/>
      <c r="C9" s="281" t="s">
        <v>282</v>
      </c>
      <c r="D9" s="338" t="s">
        <v>398</v>
      </c>
      <c r="E9" s="481"/>
      <c r="F9" s="480"/>
      <c r="G9" s="48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105" customFormat="1" ht="17.25" customHeight="1">
      <c r="A10" s="120"/>
      <c r="B10" s="120"/>
      <c r="C10" s="281" t="s">
        <v>153</v>
      </c>
      <c r="D10" s="338" t="s">
        <v>156</v>
      </c>
      <c r="E10" s="481"/>
      <c r="F10" s="480"/>
      <c r="G10" s="48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105" customFormat="1" ht="17.850000000000001" hidden="1" customHeight="1">
      <c r="A11" s="120"/>
      <c r="B11" s="120"/>
      <c r="C11" s="281" t="s">
        <v>248</v>
      </c>
      <c r="D11" s="286" t="s">
        <v>249</v>
      </c>
      <c r="E11" s="389"/>
      <c r="F11" s="413" t="s">
        <v>295</v>
      </c>
      <c r="G11" s="169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>
      <c r="A12" s="45"/>
      <c r="B12" s="45"/>
      <c r="C12" s="162" t="s">
        <v>159</v>
      </c>
      <c r="D12" s="339">
        <v>0.20100000000000001</v>
      </c>
      <c r="E12" s="390"/>
      <c r="F12" s="45"/>
      <c r="G12" s="45"/>
    </row>
    <row r="13" spans="1:28" ht="15.75" customHeight="1">
      <c r="A13" s="45"/>
      <c r="B13" s="45"/>
      <c r="C13" s="281" t="s">
        <v>160</v>
      </c>
      <c r="D13" s="340">
        <v>0</v>
      </c>
      <c r="E13" s="391"/>
      <c r="F13" s="45"/>
      <c r="G13" s="169"/>
    </row>
    <row r="14" spans="1:28" s="318" customFormat="1">
      <c r="A14" s="121"/>
      <c r="B14" s="121"/>
      <c r="C14" s="450" t="s">
        <v>161</v>
      </c>
      <c r="D14" s="341">
        <f>D12-D13</f>
        <v>0.20100000000000001</v>
      </c>
      <c r="E14" s="392"/>
      <c r="F14" s="121"/>
      <c r="G14" s="169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</row>
    <row r="15" spans="1:28">
      <c r="A15" s="45"/>
      <c r="B15" s="45"/>
      <c r="C15" s="162" t="s">
        <v>15</v>
      </c>
      <c r="D15" s="342">
        <v>360</v>
      </c>
      <c r="E15" s="393"/>
      <c r="F15" s="45"/>
      <c r="G15" s="77"/>
    </row>
    <row r="16" spans="1:28" ht="15.75" thickBot="1">
      <c r="A16" s="45"/>
      <c r="B16" s="46"/>
      <c r="C16" s="451" t="s">
        <v>19</v>
      </c>
      <c r="D16" s="561">
        <v>5.9900000000000002E-2</v>
      </c>
      <c r="E16" s="393"/>
      <c r="F16" s="413" t="s">
        <v>292</v>
      </c>
      <c r="G16" s="45"/>
    </row>
    <row r="17" spans="1:28" hidden="1">
      <c r="A17" s="45"/>
      <c r="B17" s="46"/>
      <c r="C17" s="162" t="s">
        <v>253</v>
      </c>
      <c r="D17" s="408">
        <f>IF(D4="Кэшбэк 2.0 (потреб. кредит)",F17,E17)</f>
        <v>4.99E-2</v>
      </c>
      <c r="E17" s="474">
        <f>IFERROR(IF(D10="Семейная ипотека",VLOOKUP(D11,Субсидирование!A2:D8,2,0),IF(D10="ИТ",VLOOKUP(D11,Субсидирование!A2:D8,3,0),IF(D10="Стандартная ипотека",VLOOKUP(D11,Субсидирование!A2:D8,4,0),0))),"")</f>
        <v>4.99E-2</v>
      </c>
      <c r="F17" s="474">
        <f>IFERROR(IF(AND(D10="Семейная ипотека",D4="Кэшбэк 2.0 (потреб. кредит)"),VLOOKUP(D11,'Субсидирование (Кэшбэк 2.0)'!A2:D10,2,0),IF(AND(D10="ИТ",D4="Кэшбэк 2.0 (потреб. кредит)"),VLOOKUP(D11,'Субсидирование (Кэшбэк 2.0)'!A2:D10,3,0),IF(AND(D10="Стандартная ипотека",D4="Кэшбэк 2.0 (потреб. кредит)"),VLOOKUP(D11,'Субсидирование (Кэшбэк 2.0)'!A2:D10,4,0),VLOOKUP(D11,'Субсидирование (Кэшбэк 2.0)'!A2:D10,5,0)))),"")</f>
        <v>4.99E-2</v>
      </c>
      <c r="G17" s="93"/>
    </row>
    <row r="18" spans="1:28" ht="19.5" hidden="1" customHeight="1" thickBot="1">
      <c r="A18" s="45"/>
      <c r="B18" s="46"/>
      <c r="C18" s="451" t="s">
        <v>283</v>
      </c>
      <c r="D18" s="485">
        <f>IFERROR(IF(D17="нет","",IF(D10="Семейная ипотека",VLOOKUP(D11,'Субсидирование (Кэшбэк 2.0)'!A14:D21,2,0),IF(D10="ИТ",VLOOKUP(D11,'Субсидирование (Кэшбэк 2.0)'!A14:D21,3,0),IF(D10="Стандартная ипотека",VLOOKUP(D11,'Субсидирование (Кэшбэк 2.0)'!A14:D21,4,0),0)))),"")</f>
        <v>4.99E-2</v>
      </c>
      <c r="E18" s="514"/>
      <c r="F18" s="413" t="s">
        <v>314</v>
      </c>
      <c r="G18" s="45"/>
    </row>
    <row r="19" spans="1:28">
      <c r="A19" s="45"/>
      <c r="B19" s="46"/>
      <c r="C19" s="46"/>
      <c r="D19" s="82"/>
      <c r="E19" s="82"/>
      <c r="F19" s="45"/>
      <c r="G19" s="45"/>
    </row>
    <row r="20" spans="1:28" s="155" customFormat="1" ht="21" hidden="1" customHeight="1">
      <c r="A20" s="120"/>
      <c r="B20" s="49"/>
      <c r="C20" s="150" t="s">
        <v>114</v>
      </c>
      <c r="D20" s="154">
        <f>D6-E5</f>
        <v>8000000</v>
      </c>
      <c r="E20" s="154"/>
      <c r="F20" s="510"/>
      <c r="G20" s="511"/>
      <c r="H20" s="30"/>
      <c r="I20" s="153">
        <f>(12000000/(100%-D12))/(100%+D28)</f>
        <v>11667785.477651915</v>
      </c>
      <c r="J20" s="44" t="s">
        <v>115</v>
      </c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</row>
    <row r="21" spans="1:28" s="157" customFormat="1" ht="25.5" hidden="1" customHeight="1">
      <c r="A21" s="45"/>
      <c r="B21" s="46"/>
      <c r="C21" s="46"/>
      <c r="D21" s="156"/>
      <c r="E21" s="156"/>
      <c r="F21" s="510"/>
      <c r="G21" s="511"/>
      <c r="H21" s="12"/>
      <c r="I21" s="153">
        <f>(18000000/(100%-D12)/(100%+D28))</f>
        <v>17501678.216477875</v>
      </c>
      <c r="J21" s="28" t="s">
        <v>116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idden="1">
      <c r="A22" s="45"/>
      <c r="B22" s="46"/>
      <c r="C22" s="250" t="s">
        <v>51</v>
      </c>
      <c r="D22" s="251">
        <f>D6*(100%-D5)*(100%-D12)</f>
        <v>6391999.9999999991</v>
      </c>
      <c r="E22" s="251"/>
      <c r="F22" s="93"/>
      <c r="G22" s="93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hidden="1">
      <c r="A23" s="45"/>
      <c r="B23" s="46"/>
      <c r="C23" s="250" t="s">
        <v>52</v>
      </c>
      <c r="D23" s="252">
        <f>PMT(D16/12,D15,-D22)</f>
        <v>38282.183846410604</v>
      </c>
      <c r="E23" s="252"/>
      <c r="F23" s="93"/>
      <c r="G23" s="93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hidden="1">
      <c r="A24" s="45"/>
      <c r="B24" s="46"/>
      <c r="C24" s="250"/>
      <c r="D24" s="252"/>
      <c r="E24" s="252"/>
      <c r="F24" s="93"/>
      <c r="G24" s="93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ht="27" hidden="1" customHeight="1">
      <c r="A25" s="45"/>
      <c r="B25" s="46"/>
      <c r="C25" s="528" t="s">
        <v>163</v>
      </c>
      <c r="D25" s="528"/>
      <c r="E25" s="388"/>
      <c r="F25" s="93"/>
      <c r="G25" s="93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ht="31.5" hidden="1" customHeight="1">
      <c r="A26" s="45"/>
      <c r="B26" s="46"/>
      <c r="C26" s="267" t="s">
        <v>296</v>
      </c>
      <c r="D26" s="268">
        <f>D6*(100%-D5)*(100%-D14)</f>
        <v>6391999.9999999991</v>
      </c>
      <c r="E26" s="268"/>
      <c r="F26" s="45"/>
      <c r="G26" s="475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18" hidden="1" customHeight="1">
      <c r="A27" s="45"/>
      <c r="B27" s="46"/>
      <c r="C27" s="269" t="s">
        <v>50</v>
      </c>
      <c r="D27" s="270">
        <f>D6*(100%-D5)*D14</f>
        <v>1608000</v>
      </c>
      <c r="E27" s="270"/>
      <c r="F27" s="45"/>
      <c r="G27" s="93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ht="15" hidden="1" customHeight="1" outlineLevel="1">
      <c r="A28" s="45"/>
      <c r="B28" s="46"/>
      <c r="C28" s="265" t="s">
        <v>257</v>
      </c>
      <c r="D28" s="486">
        <f>IF(D11="","нет",VLOOKUP(D8,'Объекты и наценки'!D6:J39,F28,0))</f>
        <v>0.28720000000000001</v>
      </c>
      <c r="E28" s="266"/>
      <c r="F28" s="322">
        <f>IF(AND(D14&gt;=20%,D14&lt;=21%),7,IF(AND(D14&gt;=15%,D14&lt;=16%),6,IF(AND(D14&gt;=10%,D14&lt;=11%),5,IF(AND(D14&gt;=5%,D14&lt;=6%),4,"Ошибка"))))</f>
        <v>7</v>
      </c>
      <c r="G28" s="93"/>
      <c r="I28" s="531" t="s">
        <v>247</v>
      </c>
      <c r="J28" s="531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ht="15" hidden="1" customHeight="1" outlineLevel="1">
      <c r="A29" s="45"/>
      <c r="B29" s="46"/>
      <c r="C29" s="383" t="str">
        <f>IF(D4="Кэшбэк 2.0 (потреб. кредит)","Наценка в % Кэшбэк + наценка за проценты по потребу","")</f>
        <v>Наценка в % Кэшбэк + наценка за проценты по потребу</v>
      </c>
      <c r="D29" s="384">
        <f>IF(D4="Кэшбэк 2.0 (потреб. кредит)",1%,0%)</f>
        <v>0.01</v>
      </c>
      <c r="E29" s="384"/>
      <c r="F29" s="322"/>
      <c r="G29" s="93"/>
      <c r="I29" s="531"/>
      <c r="J29" s="531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ht="15" hidden="1" customHeight="1" outlineLevel="1">
      <c r="A30" s="45"/>
      <c r="B30" s="46"/>
      <c r="C30" s="330" t="str">
        <f>IF(D9="да","Комиссия банка","")</f>
        <v>Комиссия банка</v>
      </c>
      <c r="D30" s="331">
        <f>IF(D9="нет",0%,IF(D4="Кэшбэк 2.0 (потреб. кредит)",D17,IF(D10="Семейная ипотека",VLOOKUP(D11,Субсидирование!A2:D8,2,0),IF(D10="ИТ",VLOOKUP(D11,Субсидирование!A2:D8,3,0),IF(D10="Стандартная ипотека",VLOOKUP(D11,Субсидирование!A2:D8,4,0),0)))))</f>
        <v>4.99E-2</v>
      </c>
      <c r="E30" s="331"/>
      <c r="F30" s="322"/>
      <c r="G30" s="475"/>
      <c r="I30" s="531"/>
      <c r="J30" s="531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ht="15" hidden="1" customHeight="1" outlineLevel="1">
      <c r="A31" s="45"/>
      <c r="B31" s="46"/>
      <c r="C31" s="330" t="str">
        <f>IF(D9="да","Дополнительная наценка за субсидирование","")</f>
        <v>Дополнительная наценка за субсидирование</v>
      </c>
      <c r="D31" s="371">
        <f>IF(D9="нет",0%,IF(D4="Кэшбэк 2.0 (потреб. кредит)",D18,IF(D10="Семейная ипотека",VLOOKUP(D11,Субсидирование!A11:D17,2,0),IF(D10="ИТ",VLOOKUP(D11,Субсидирование!A11:D17,3,0),IF(D10="Стандартная ипотека",VLOOKUP(D11,Субсидирование!A11:D17,4,0),0)))))</f>
        <v>4.99E-2</v>
      </c>
      <c r="E31" s="371"/>
      <c r="F31" s="322">
        <f>D31-D30</f>
        <v>0</v>
      </c>
      <c r="G31" s="475"/>
      <c r="I31" s="531"/>
      <c r="J31" s="531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ht="15" hidden="1" customHeight="1" outlineLevel="1">
      <c r="A32" s="45"/>
      <c r="B32" s="46"/>
      <c r="C32" s="411" t="s">
        <v>293</v>
      </c>
      <c r="D32" s="412">
        <f>(D38+D7)/D20-1</f>
        <v>0.3619302499999999</v>
      </c>
      <c r="E32" s="331">
        <f>IF(D9="нет",0%,IF(D4="Кэшбэк 2.0 (потреб. кредит)",D18,IF(D10="Семейная ипотека",VLOOKUP(D11,Субсидирование!A11:D17,2,0),IF(D10="Госпрограмма 2020",VLOOKUP(D11,Субсидирование!A11:D17,3,0),IF(D10="ИТ",VLOOKUP(D11,Субсидирование!A11:D17,4,0),IF(D10="Семейная ипотека",VLOOKUP(D11,Субсидирование!A11:D17,5,0),0))))))</f>
        <v>4.99E-2</v>
      </c>
      <c r="F32" s="322"/>
      <c r="G32" s="93"/>
      <c r="I32" s="531"/>
      <c r="J32" s="531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ht="59.25" hidden="1" customHeight="1" outlineLevel="1">
      <c r="A33" s="45"/>
      <c r="B33" s="46"/>
      <c r="C33" s="250" t="s">
        <v>294</v>
      </c>
      <c r="D33" s="254">
        <f>ROUND($D$20*D28,0)</f>
        <v>2297600</v>
      </c>
      <c r="E33" s="254"/>
      <c r="F33" s="93"/>
      <c r="G33" s="93"/>
      <c r="I33" s="531"/>
      <c r="J33" s="531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ht="17.25" hidden="1" customHeight="1" outlineLevel="1">
      <c r="A34" s="45"/>
      <c r="B34" s="46"/>
      <c r="C34" s="409" t="str">
        <f>IF(D4="Кэшбэк 2.0 (потреб. кредит)","Наценка в руб. в рамках Кэшбэк + потреб.","")</f>
        <v>Наценка в руб. в рамках Кэшбэк + потреб.</v>
      </c>
      <c r="D34" s="410">
        <f>IF(D4="Кэшбэк 2.0 (потреб. кредит)",D20*(D28+D29),0%)</f>
        <v>2377600</v>
      </c>
      <c r="E34" s="410"/>
      <c r="F34" s="475"/>
      <c r="G34" s="508"/>
      <c r="I34" s="100"/>
      <c r="J34" s="100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ht="17.25" hidden="1" customHeight="1" outlineLevel="1">
      <c r="A35" s="45"/>
      <c r="B35" s="46"/>
      <c r="C35" s="330" t="str">
        <f>IF(D9="да","Наценка в руб за кешбэк + потреб + субсидирование","")</f>
        <v>Наценка в руб за кешбэк + потреб + субсидирование</v>
      </c>
      <c r="D35" s="332">
        <f>IF(D9="да",IF(D4="Кэшбэк 1.0",(D20+D33)*D31+D33+D7,(D20+D34)*D31+D34+D7),0)</f>
        <v>2910442.24</v>
      </c>
      <c r="E35" s="332"/>
      <c r="F35" s="475"/>
      <c r="G35" s="475"/>
      <c r="I35" s="100"/>
      <c r="J35" s="100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 hidden="1" collapsed="1">
      <c r="A36" s="45"/>
      <c r="B36" s="46"/>
      <c r="C36" s="250"/>
      <c r="D36" s="250"/>
      <c r="E36" s="250"/>
      <c r="F36" s="93"/>
      <c r="G36" s="93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ht="34.5" hidden="1" customHeight="1">
      <c r="A37" s="45"/>
      <c r="B37" s="46"/>
      <c r="C37" s="267" t="s">
        <v>284</v>
      </c>
      <c r="D37" s="334">
        <f>ROUND($D$20+D33-$D$7,0)</f>
        <v>10282600</v>
      </c>
      <c r="E37" s="334"/>
      <c r="F37" s="512"/>
      <c r="G37" s="513" t="s">
        <v>270</v>
      </c>
      <c r="I37" s="249"/>
      <c r="J37" s="12" t="s">
        <v>273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1:28" ht="35.25" hidden="1" customHeight="1">
      <c r="A38" s="45" t="s">
        <v>298</v>
      </c>
      <c r="B38" s="46"/>
      <c r="C38" s="333" t="s">
        <v>318</v>
      </c>
      <c r="D38" s="256">
        <f>ROUND(((ROUNDUP($D$20*(1+D28+D29),0)))*(1+D31)-$D$7,0)</f>
        <v>10880442</v>
      </c>
      <c r="E38" s="256"/>
      <c r="F38" s="428">
        <f>D38-(D39+D40+D41)</f>
        <v>0</v>
      </c>
      <c r="G38" s="49" t="s">
        <v>165</v>
      </c>
      <c r="I38" s="24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28" s="105" customFormat="1" ht="15" hidden="1" customHeight="1">
      <c r="A39" s="120"/>
      <c r="B39" s="49"/>
      <c r="C39" s="255" t="s">
        <v>30</v>
      </c>
      <c r="D39" s="257">
        <f>D38-D41-D40</f>
        <v>8693473</v>
      </c>
      <c r="E39" s="257"/>
      <c r="F39" s="532">
        <f>D39/D38</f>
        <v>0.79899998547853113</v>
      </c>
      <c r="G39" s="532"/>
      <c r="H39" s="30"/>
      <c r="I39" s="531"/>
      <c r="J39" s="531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</row>
    <row r="40" spans="1:28" ht="17.25" hidden="1" customHeight="1">
      <c r="A40" s="45"/>
      <c r="B40" s="46"/>
      <c r="C40" s="46" t="s">
        <v>281</v>
      </c>
      <c r="D40" s="257">
        <f>ROUND(D38*$D$13,0)</f>
        <v>0</v>
      </c>
      <c r="E40" s="257"/>
      <c r="F40" s="533">
        <f>D40/D38</f>
        <v>0</v>
      </c>
      <c r="G40" s="533"/>
      <c r="I40" s="531"/>
      <c r="J40" s="531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1:28" hidden="1">
      <c r="A41" s="45"/>
      <c r="B41" s="46"/>
      <c r="C41" s="435" t="s">
        <v>161</v>
      </c>
      <c r="D41" s="257">
        <f>ROUNDUP(D38*$D$14,0)</f>
        <v>2186969</v>
      </c>
      <c r="E41" s="257"/>
      <c r="F41" s="433" t="s">
        <v>299</v>
      </c>
      <c r="G41" s="433">
        <f>(D40+ROUNDUP(D38*D14,0)+D7)</f>
        <v>2201969</v>
      </c>
      <c r="I41" s="100"/>
      <c r="J41" s="100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hidden="1">
      <c r="A42" s="45"/>
      <c r="B42" s="46"/>
      <c r="C42" s="255" t="s">
        <v>46</v>
      </c>
      <c r="D42" s="272">
        <f>(D40+D41)/D38</f>
        <v>0.2010000145214689</v>
      </c>
      <c r="E42" s="272"/>
      <c r="F42" s="429"/>
      <c r="G42" s="434">
        <f>(G41-D7)/D38</f>
        <v>0.2010000145214689</v>
      </c>
      <c r="I42" s="249"/>
      <c r="J42" s="24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hidden="1">
      <c r="A43" s="45"/>
      <c r="B43" s="46"/>
      <c r="C43" s="255" t="s">
        <v>22</v>
      </c>
      <c r="D43" s="259">
        <f>PMT($D$16/12,$D$15,-D39)</f>
        <v>52065.884175501691</v>
      </c>
      <c r="E43" s="257"/>
      <c r="F43" s="430">
        <f>F44/D38</f>
        <v>4.4421908595257435E-3</v>
      </c>
      <c r="G43" s="46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1:28" ht="19.5" hidden="1" customHeight="1">
      <c r="A44" s="45"/>
      <c r="B44" s="46"/>
      <c r="C44" s="333" t="str">
        <f>IF(D4="Кэшбэк 2.0 (потреб. кредит)","Сумма кешбэка (размер ПВ + проценты за пользованием потреба. 2,21%)","Сумма кешбэка")</f>
        <v>Сумма кешбэка (размер ПВ + проценты за пользованием потреба. 2,21%)</v>
      </c>
      <c r="D44" s="260">
        <f>ROUNDUP(IF(D4="Кэшбэк 2.0 (потреб. кредит)",D38*D14+ROUNDUP(D38*D14*2.21%,0),D38*D14),0)</f>
        <v>2235302</v>
      </c>
      <c r="E44" s="260"/>
      <c r="F44" s="47">
        <f>D44-D41</f>
        <v>48333</v>
      </c>
      <c r="G44" s="46" t="s">
        <v>360</v>
      </c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1:28" hidden="1">
      <c r="A45" s="45"/>
      <c r="B45" s="46"/>
      <c r="C45" s="333" t="str">
        <f>IF(D4="Кэшбэк 2.0 (потреб. кредит)","Проценты за пользованием потреб.кредита","")</f>
        <v>Проценты за пользованием потреб.кредита</v>
      </c>
      <c r="D45" s="257">
        <f>IF(D4="Кэшбэк 2.0 (потреб. кредит)",D41*2.21%,0)</f>
        <v>48332.014899999995</v>
      </c>
      <c r="E45" s="257"/>
      <c r="F45" s="47"/>
      <c r="G45" s="46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28" hidden="1">
      <c r="A46" s="45"/>
      <c r="B46" s="46"/>
      <c r="C46" s="271" t="s">
        <v>162</v>
      </c>
      <c r="D46" s="264">
        <f>D38/$D$6-100%-$D$14</f>
        <v>0.15905525000000004</v>
      </c>
      <c r="E46" s="264"/>
      <c r="F46" s="431">
        <f>D44/D38</f>
        <v>0.20544220538099464</v>
      </c>
      <c r="G46" s="432" t="s">
        <v>275</v>
      </c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1:28" hidden="1">
      <c r="A47" s="45"/>
      <c r="B47" s="46"/>
      <c r="C47" s="271"/>
      <c r="D47" s="385"/>
      <c r="E47" s="385"/>
      <c r="F47" s="46"/>
      <c r="G47" s="47">
        <f>D44*2.21%</f>
        <v>49400.174199999994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1:28" hidden="1">
      <c r="A48" s="45"/>
      <c r="B48" s="46"/>
      <c r="C48" s="275" t="s">
        <v>189</v>
      </c>
      <c r="D48" s="273">
        <f>D41+D7+D40</f>
        <v>2201969</v>
      </c>
      <c r="E48" s="273"/>
      <c r="F48" s="46"/>
      <c r="G48" s="46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28" hidden="1">
      <c r="A49" s="45"/>
      <c r="B49" s="46"/>
      <c r="C49" s="275" t="s">
        <v>190</v>
      </c>
      <c r="D49" s="274">
        <f>D48/D38</f>
        <v>0.20237863498560077</v>
      </c>
      <c r="E49" s="274"/>
      <c r="F49" s="46"/>
      <c r="G49" s="46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hidden="1">
      <c r="A50" s="45"/>
      <c r="B50" s="46"/>
      <c r="C50" s="250"/>
      <c r="D50" s="261"/>
      <c r="E50" s="261"/>
      <c r="F50" s="46"/>
      <c r="G50" s="46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hidden="1">
      <c r="A51" s="45"/>
      <c r="B51" s="46"/>
      <c r="C51" s="527" t="s">
        <v>41</v>
      </c>
      <c r="D51" s="527"/>
      <c r="E51" s="387"/>
      <c r="F51" s="46"/>
      <c r="G51" s="46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hidden="1">
      <c r="A52" s="45"/>
      <c r="B52" s="46"/>
      <c r="C52" s="250" t="s">
        <v>42</v>
      </c>
      <c r="D52" s="262">
        <f>D43-$D$23</f>
        <v>13783.700329091087</v>
      </c>
      <c r="E52" s="262"/>
      <c r="F52" s="46"/>
      <c r="G52" s="46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hidden="1">
      <c r="A53" s="45"/>
      <c r="B53" s="46"/>
      <c r="C53" s="250"/>
      <c r="D53" s="250"/>
      <c r="E53" s="250"/>
      <c r="F53" s="46"/>
      <c r="G53" s="46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hidden="1" outlineLevel="1">
      <c r="A54" s="45"/>
      <c r="B54" s="46"/>
      <c r="C54" s="250" t="s">
        <v>29</v>
      </c>
      <c r="D54" s="253">
        <f>(D39-D44)/$D$6-100%</f>
        <v>-0.19272862499999999</v>
      </c>
      <c r="E54" s="253"/>
      <c r="F54" s="46"/>
      <c r="G54" s="46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hidden="1" outlineLevel="1">
      <c r="A55" s="45"/>
      <c r="B55" s="46"/>
      <c r="C55" s="250" t="s">
        <v>28</v>
      </c>
      <c r="D55" s="254">
        <f>D38-$D$6</f>
        <v>2880442</v>
      </c>
      <c r="E55" s="254"/>
      <c r="F55" s="46"/>
      <c r="G55" s="46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28" hidden="1" outlineLevel="1">
      <c r="A56" s="45"/>
      <c r="B56" s="45"/>
      <c r="C56" s="250" t="s">
        <v>31</v>
      </c>
      <c r="D56" s="253">
        <f>D55/$D$6*(-1)</f>
        <v>-0.36005524999999999</v>
      </c>
      <c r="E56" s="253"/>
      <c r="F56" s="45"/>
      <c r="G56" s="45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hidden="1" outlineLevel="1">
      <c r="A57" s="45"/>
      <c r="B57" s="45"/>
      <c r="C57" s="369" t="s">
        <v>269</v>
      </c>
      <c r="D57" s="370">
        <f>D38-D20-D44-D61+D7</f>
        <v>226335.6973</v>
      </c>
      <c r="E57" s="370"/>
      <c r="F57" s="46" t="s">
        <v>265</v>
      </c>
      <c r="G57" s="45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ht="12.75" hidden="1" customHeight="1" collapsed="1">
      <c r="A58" s="45"/>
      <c r="B58" s="45"/>
      <c r="C58" s="250" t="s">
        <v>278</v>
      </c>
      <c r="D58" s="368">
        <f>D33-D37*(1-(1-D14))</f>
        <v>230797.39999999921</v>
      </c>
      <c r="E58" s="368"/>
      <c r="F58" s="47"/>
      <c r="G58" s="45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 hidden="1">
      <c r="A59" s="45"/>
      <c r="B59" s="45"/>
      <c r="C59" s="45"/>
      <c r="D59" s="374">
        <f>D57-D58</f>
        <v>-4461.7026999992086</v>
      </c>
      <c r="E59" s="374"/>
      <c r="F59" s="45"/>
      <c r="G59" s="45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 spans="1:28" hidden="1">
      <c r="A60" s="45"/>
      <c r="B60" s="45"/>
      <c r="C60" s="324" t="s">
        <v>267</v>
      </c>
      <c r="D60" s="325">
        <f>D30</f>
        <v>4.99E-2</v>
      </c>
      <c r="E60" s="325"/>
      <c r="F60" s="45"/>
      <c r="G60" s="45"/>
    </row>
    <row r="61" spans="1:28" hidden="1">
      <c r="A61" s="45"/>
      <c r="B61" s="45"/>
      <c r="C61" s="324" t="s">
        <v>268</v>
      </c>
      <c r="D61" s="326">
        <f>D39*D60</f>
        <v>433804.3027</v>
      </c>
      <c r="E61" s="326"/>
      <c r="F61" s="45"/>
      <c r="G61" s="45"/>
    </row>
    <row r="62" spans="1:28" hidden="1">
      <c r="A62" s="45"/>
      <c r="B62" s="53"/>
      <c r="C62" s="323"/>
      <c r="D62" s="323"/>
      <c r="E62" s="323"/>
      <c r="F62" s="53"/>
      <c r="G62" s="53"/>
      <c r="H62" s="83"/>
    </row>
    <row r="63" spans="1:28" hidden="1">
      <c r="A63" s="45"/>
      <c r="B63" s="45"/>
      <c r="C63" s="45"/>
      <c r="D63" s="45"/>
      <c r="E63" s="45"/>
      <c r="F63" s="45"/>
      <c r="G63" s="45"/>
    </row>
    <row r="64" spans="1:28" hidden="1">
      <c r="A64" s="45"/>
      <c r="B64" s="45"/>
      <c r="C64" s="275" t="s">
        <v>189</v>
      </c>
      <c r="D64" s="395">
        <f>D41+D7+D40</f>
        <v>2201969</v>
      </c>
      <c r="E64" s="45"/>
      <c r="F64" s="45"/>
      <c r="G64" s="45"/>
    </row>
    <row r="65" spans="1:7" hidden="1">
      <c r="A65" s="45"/>
      <c r="B65" s="45"/>
      <c r="C65" s="275" t="s">
        <v>190</v>
      </c>
      <c r="D65" s="396">
        <f>D64/D38</f>
        <v>0.20237863498560077</v>
      </c>
      <c r="E65" s="45"/>
      <c r="F65" s="45"/>
      <c r="G65" s="45"/>
    </row>
    <row r="66" spans="1:7" ht="15.75" hidden="1" thickBot="1">
      <c r="A66" s="45"/>
      <c r="B66" s="45"/>
      <c r="C66" s="45"/>
      <c r="D66" s="45"/>
      <c r="E66" s="45"/>
      <c r="F66" s="45"/>
      <c r="G66" s="45"/>
    </row>
    <row r="67" spans="1:7" hidden="1">
      <c r="A67" s="45"/>
      <c r="B67" s="45"/>
      <c r="C67" s="417" t="s">
        <v>308</v>
      </c>
      <c r="D67" s="418">
        <f>D6*(1-D5)</f>
        <v>8000000</v>
      </c>
      <c r="E67" s="419"/>
      <c r="F67" s="45"/>
      <c r="G67" s="45"/>
    </row>
    <row r="68" spans="1:7" hidden="1">
      <c r="A68" s="45"/>
      <c r="B68" s="45"/>
      <c r="C68" s="420" t="s">
        <v>309</v>
      </c>
      <c r="D68" s="257">
        <f>D38+D7-D61-D41-D45</f>
        <v>8226336.6824000003</v>
      </c>
      <c r="E68" s="58"/>
      <c r="F68" s="45"/>
      <c r="G68" s="45"/>
    </row>
    <row r="69" spans="1:7" ht="45.75" hidden="1" customHeight="1" thickBot="1">
      <c r="A69" s="45"/>
      <c r="B69" s="45"/>
      <c r="C69" s="421" t="s">
        <v>310</v>
      </c>
      <c r="D69" s="422">
        <f>D68/D6-1</f>
        <v>2.8292085299999936E-2</v>
      </c>
      <c r="E69" s="423"/>
      <c r="F69" s="45"/>
      <c r="G69" s="45"/>
    </row>
    <row r="70" spans="1:7" hidden="1">
      <c r="A70" s="45"/>
      <c r="B70" s="45"/>
      <c r="C70" s="45"/>
      <c r="D70" s="45"/>
      <c r="E70" s="45"/>
      <c r="F70" s="45"/>
      <c r="G70" s="45"/>
    </row>
    <row r="71" spans="1:7" hidden="1">
      <c r="A71" s="45"/>
      <c r="B71" s="45"/>
      <c r="C71" s="526" t="s">
        <v>385</v>
      </c>
      <c r="D71" s="526"/>
      <c r="E71" s="45"/>
      <c r="F71" s="45"/>
      <c r="G71" s="45"/>
    </row>
    <row r="72" spans="1:7" hidden="1">
      <c r="A72" s="45"/>
      <c r="B72" s="45"/>
      <c r="C72" s="46" t="s">
        <v>386</v>
      </c>
      <c r="D72" s="47">
        <f>IF(D9="да",D35,D33)</f>
        <v>2910442.24</v>
      </c>
      <c r="F72" s="45"/>
      <c r="G72" s="45"/>
    </row>
    <row r="73" spans="1:7" hidden="1">
      <c r="A73" s="45"/>
      <c r="B73" s="45"/>
      <c r="C73" s="46" t="s">
        <v>387</v>
      </c>
      <c r="D73" s="507">
        <f>D44+D61</f>
        <v>2669106.3026999999</v>
      </c>
      <c r="E73" s="45"/>
      <c r="F73" s="45"/>
      <c r="G73" s="45"/>
    </row>
    <row r="74" spans="1:7" hidden="1">
      <c r="A74" s="45"/>
      <c r="B74" s="45"/>
      <c r="C74" s="46" t="s">
        <v>388</v>
      </c>
      <c r="D74" s="507">
        <f>D72-D73</f>
        <v>241335.93730000034</v>
      </c>
      <c r="E74" s="45"/>
      <c r="F74" s="45"/>
      <c r="G74" s="45"/>
    </row>
    <row r="75" spans="1:7" hidden="1">
      <c r="A75" s="45"/>
      <c r="B75" s="45"/>
      <c r="C75" s="45"/>
      <c r="D75" s="45"/>
      <c r="E75" s="45"/>
      <c r="F75" s="45"/>
      <c r="G75" s="45"/>
    </row>
    <row r="76" spans="1:7" hidden="1">
      <c r="A76" s="45"/>
      <c r="B76" s="45"/>
      <c r="C76" s="45"/>
      <c r="D76" s="45"/>
      <c r="E76" s="45"/>
      <c r="F76" s="45"/>
      <c r="G76" s="45"/>
    </row>
    <row r="77" spans="1:7" hidden="1">
      <c r="A77" s="45"/>
      <c r="B77" s="45"/>
      <c r="C77" s="45"/>
      <c r="D77" s="45"/>
      <c r="E77" s="45"/>
      <c r="F77" s="45"/>
      <c r="G77" s="45"/>
    </row>
    <row r="78" spans="1:7" hidden="1">
      <c r="A78" s="45"/>
      <c r="B78" s="45"/>
      <c r="C78" s="45"/>
      <c r="D78" s="45"/>
      <c r="E78" s="45"/>
      <c r="F78" s="45"/>
      <c r="G78" s="45"/>
    </row>
    <row r="79" spans="1:7" hidden="1">
      <c r="A79" s="45"/>
      <c r="B79" s="45"/>
      <c r="C79" s="45"/>
      <c r="D79" s="45"/>
      <c r="E79" s="45"/>
      <c r="F79" s="45"/>
      <c r="G79" s="45"/>
    </row>
    <row r="80" spans="1:7">
      <c r="A80" s="45"/>
      <c r="B80" s="45"/>
      <c r="C80" s="45"/>
      <c r="D80" s="45"/>
      <c r="E80" s="45"/>
      <c r="F80" s="45"/>
      <c r="G80" s="45"/>
    </row>
    <row r="81" spans="1:7">
      <c r="A81" s="45"/>
      <c r="B81" s="45"/>
      <c r="C81" s="45"/>
      <c r="D81" s="45"/>
      <c r="E81" s="45"/>
      <c r="F81" s="45"/>
      <c r="G81" s="45"/>
    </row>
    <row r="82" spans="1:7">
      <c r="A82" s="45"/>
      <c r="B82" s="45"/>
      <c r="C82" s="45"/>
      <c r="D82" s="45"/>
      <c r="E82" s="45"/>
      <c r="F82" s="45"/>
      <c r="G82" s="45"/>
    </row>
    <row r="83" spans="1:7">
      <c r="A83" s="45"/>
      <c r="B83" s="45"/>
      <c r="C83" s="45"/>
      <c r="D83" s="45"/>
      <c r="E83" s="45"/>
      <c r="F83" s="45"/>
      <c r="G83" s="45"/>
    </row>
  </sheetData>
  <sheetProtection algorithmName="SHA-512" hashValue="B1hjtR6vuz7bIXXB8O7vAkjLsnnx9EnCkcC2FCUKHZtf/+2sHkHweKB5+btUQehkmyY3tCPQgQzEvK/BpD+eWQ==" saltValue="C4lMNY+ph1JVOwUB9bZiqw==" spinCount="100000" sheet="1" objects="1" scenarios="1"/>
  <mergeCells count="11">
    <mergeCell ref="C71:D71"/>
    <mergeCell ref="C51:D51"/>
    <mergeCell ref="C25:D25"/>
    <mergeCell ref="C2:F2"/>
    <mergeCell ref="I2:J2"/>
    <mergeCell ref="F6:G6"/>
    <mergeCell ref="F7:G7"/>
    <mergeCell ref="I28:J33"/>
    <mergeCell ref="F39:G39"/>
    <mergeCell ref="I39:J40"/>
    <mergeCell ref="F40:G40"/>
  </mergeCells>
  <conditionalFormatting sqref="D59:E59">
    <cfRule type="cellIs" dxfId="9" priority="3" operator="lessThan">
      <formula>0</formula>
    </cfRule>
  </conditionalFormatting>
  <conditionalFormatting sqref="F6:F10">
    <cfRule type="containsText" dxfId="8" priority="10" operator="containsText" text="Сумма кредита">
      <formula>NOT(ISERROR(SEARCH("Сумма кредита",F6)))</formula>
    </cfRule>
  </conditionalFormatting>
  <conditionalFormatting sqref="F39">
    <cfRule type="containsText" dxfId="7" priority="8" operator="containsText" text="Сумма кредита">
      <formula>NOT(ISERROR(SEARCH("Сумма кредита",F39)))</formula>
    </cfRule>
  </conditionalFormatting>
  <conditionalFormatting sqref="D74">
    <cfRule type="cellIs" dxfId="6" priority="1" operator="greaterThan">
      <formula>0</formula>
    </cfRule>
    <cfRule type="cellIs" dxfId="5" priority="2" operator="lessThan">
      <formula>0</formula>
    </cfRule>
  </conditionalFormatting>
  <dataValidations count="3">
    <dataValidation type="list" allowBlank="1" showInputMessage="1" showErrorMessage="1" sqref="D13:E13" xr:uid="{9ACCDDFC-2102-40FB-9A6F-6F9EC404CD83}">
      <formula1>"0%, 5%, 10%, 15%, 20%, 25%"</formula1>
    </dataValidation>
    <dataValidation type="list" allowBlank="1" showInputMessage="1" showErrorMessage="1" sqref="E9:E10 D9" xr:uid="{15BE580F-1E53-4713-8D99-A129DE7C1A98}">
      <formula1>"да, нет"</formula1>
    </dataValidation>
    <dataValidation type="list" allowBlank="1" showInputMessage="1" showErrorMessage="1" sqref="D4" xr:uid="{F7BF245E-5FEF-4634-B470-DCC20B924381}">
      <formula1>"Кэшбэк 1.0, Кэшбэк 2.0 (потреб. кредит)"</formula1>
    </dataValidation>
  </dataValidations>
  <pageMargins left="0.7" right="0.7" top="0.75" bottom="0.75" header="0.3" footer="0.3"/>
  <pageSetup paperSize="9" scale="7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C7F5E65-C79A-493D-A7B3-D8436B44C9C2}">
          <x14:formula1>
            <xm:f>Субсидирование!$B$2:$D$2</xm:f>
          </x14:formula1>
          <xm:sqref>D10</xm:sqref>
        </x14:dataValidation>
        <x14:dataValidation type="list" allowBlank="1" showInputMessage="1" showErrorMessage="1" xr:uid="{7222557D-CC20-4BCE-AA61-CBC293C7CCCE}">
          <x14:formula1>
            <xm:f>Субсидирование!$L$3:$L$17</xm:f>
          </x14:formula1>
          <xm:sqref>E11</xm:sqref>
        </x14:dataValidation>
        <x14:dataValidation type="list" allowBlank="1" showInputMessage="1" showErrorMessage="1" xr:uid="{02961ECE-1031-472A-B84B-2445C77C9BD2}">
          <x14:formula1>
            <xm:f>Субсидирование!$L$3:$L$11</xm:f>
          </x14:formula1>
          <xm:sqref>D11</xm:sqref>
        </x14:dataValidation>
        <x14:dataValidation type="list" allowBlank="1" showInputMessage="1" showErrorMessage="1" xr:uid="{1271E492-6A42-4C68-8AD2-C8A10F156A7C}">
          <x14:formula1>
            <xm:f>'Объекты и наценки'!$D$7:$D$39</xm:f>
          </x14:formula1>
          <xm:sqref>D8:E8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48D26-0666-4761-A7B1-D539EDD15C50}">
  <sheetPr>
    <pageSetUpPr fitToPage="1"/>
  </sheetPr>
  <dimension ref="B1:R509"/>
  <sheetViews>
    <sheetView showGridLines="0" view="pageBreakPreview" topLeftCell="A8" zoomScale="70" zoomScaleNormal="70" zoomScaleSheetLayoutView="70" zoomScalePageLayoutView="50" workbookViewId="0">
      <selection activeCell="B65" sqref="B65"/>
    </sheetView>
  </sheetViews>
  <sheetFormatPr defaultRowHeight="14.25" outlineLevelRow="1"/>
  <cols>
    <col min="1" max="1" width="2.42578125" style="170" customWidth="1"/>
    <col min="2" max="2" width="14.42578125" style="170" customWidth="1"/>
    <col min="3" max="3" width="36.42578125" style="170" customWidth="1"/>
    <col min="4" max="4" width="16.5703125" style="170" customWidth="1"/>
    <col min="5" max="9" width="31.5703125" style="170" customWidth="1"/>
    <col min="10" max="10" width="25.5703125" style="170" customWidth="1"/>
    <col min="11" max="11" width="25.5703125" style="170" hidden="1" customWidth="1"/>
    <col min="12" max="15" width="30.42578125" style="170" customWidth="1"/>
    <col min="16" max="240" width="9.42578125" style="170"/>
    <col min="241" max="241" width="0" style="170" hidden="1" customWidth="1"/>
    <col min="242" max="243" width="9.42578125" style="170"/>
    <col min="244" max="245" width="23" style="170" customWidth="1"/>
    <col min="246" max="246" width="4.5703125" style="170" customWidth="1"/>
    <col min="247" max="247" width="27.42578125" style="170" customWidth="1"/>
    <col min="248" max="248" width="34.5703125" style="170" customWidth="1"/>
    <col min="249" max="252" width="24" style="170" customWidth="1"/>
    <col min="253" max="253" width="7.5703125" style="170" customWidth="1"/>
    <col min="254" max="496" width="9.42578125" style="170"/>
    <col min="497" max="497" width="0" style="170" hidden="1" customWidth="1"/>
    <col min="498" max="499" width="9.42578125" style="170"/>
    <col min="500" max="501" width="23" style="170" customWidth="1"/>
    <col min="502" max="502" width="4.5703125" style="170" customWidth="1"/>
    <col min="503" max="503" width="27.42578125" style="170" customWidth="1"/>
    <col min="504" max="504" width="34.5703125" style="170" customWidth="1"/>
    <col min="505" max="508" width="24" style="170" customWidth="1"/>
    <col min="509" max="509" width="7.5703125" style="170" customWidth="1"/>
    <col min="510" max="752" width="9.42578125" style="170"/>
    <col min="753" max="753" width="0" style="170" hidden="1" customWidth="1"/>
    <col min="754" max="755" width="9.42578125" style="170"/>
    <col min="756" max="757" width="23" style="170" customWidth="1"/>
    <col min="758" max="758" width="4.5703125" style="170" customWidth="1"/>
    <col min="759" max="759" width="27.42578125" style="170" customWidth="1"/>
    <col min="760" max="760" width="34.5703125" style="170" customWidth="1"/>
    <col min="761" max="764" width="24" style="170" customWidth="1"/>
    <col min="765" max="765" width="7.5703125" style="170" customWidth="1"/>
    <col min="766" max="1008" width="9.42578125" style="170"/>
    <col min="1009" max="1009" width="0" style="170" hidden="1" customWidth="1"/>
    <col min="1010" max="1011" width="9.42578125" style="170"/>
    <col min="1012" max="1013" width="23" style="170" customWidth="1"/>
    <col min="1014" max="1014" width="4.5703125" style="170" customWidth="1"/>
    <col min="1015" max="1015" width="27.42578125" style="170" customWidth="1"/>
    <col min="1016" max="1016" width="34.5703125" style="170" customWidth="1"/>
    <col min="1017" max="1020" width="24" style="170" customWidth="1"/>
    <col min="1021" max="1021" width="7.5703125" style="170" customWidth="1"/>
    <col min="1022" max="1264" width="9.42578125" style="170"/>
    <col min="1265" max="1265" width="0" style="170" hidden="1" customWidth="1"/>
    <col min="1266" max="1267" width="9.42578125" style="170"/>
    <col min="1268" max="1269" width="23" style="170" customWidth="1"/>
    <col min="1270" max="1270" width="4.5703125" style="170" customWidth="1"/>
    <col min="1271" max="1271" width="27.42578125" style="170" customWidth="1"/>
    <col min="1272" max="1272" width="34.5703125" style="170" customWidth="1"/>
    <col min="1273" max="1276" width="24" style="170" customWidth="1"/>
    <col min="1277" max="1277" width="7.5703125" style="170" customWidth="1"/>
    <col min="1278" max="1520" width="9.42578125" style="170"/>
    <col min="1521" max="1521" width="0" style="170" hidden="1" customWidth="1"/>
    <col min="1522" max="1523" width="9.42578125" style="170"/>
    <col min="1524" max="1525" width="23" style="170" customWidth="1"/>
    <col min="1526" max="1526" width="4.5703125" style="170" customWidth="1"/>
    <col min="1527" max="1527" width="27.42578125" style="170" customWidth="1"/>
    <col min="1528" max="1528" width="34.5703125" style="170" customWidth="1"/>
    <col min="1529" max="1532" width="24" style="170" customWidth="1"/>
    <col min="1533" max="1533" width="7.5703125" style="170" customWidth="1"/>
    <col min="1534" max="1776" width="9.42578125" style="170"/>
    <col min="1777" max="1777" width="0" style="170" hidden="1" customWidth="1"/>
    <col min="1778" max="1779" width="9.42578125" style="170"/>
    <col min="1780" max="1781" width="23" style="170" customWidth="1"/>
    <col min="1782" max="1782" width="4.5703125" style="170" customWidth="1"/>
    <col min="1783" max="1783" width="27.42578125" style="170" customWidth="1"/>
    <col min="1784" max="1784" width="34.5703125" style="170" customWidth="1"/>
    <col min="1785" max="1788" width="24" style="170" customWidth="1"/>
    <col min="1789" max="1789" width="7.5703125" style="170" customWidth="1"/>
    <col min="1790" max="2032" width="9.42578125" style="170"/>
    <col min="2033" max="2033" width="0" style="170" hidden="1" customWidth="1"/>
    <col min="2034" max="2035" width="9.42578125" style="170"/>
    <col min="2036" max="2037" width="23" style="170" customWidth="1"/>
    <col min="2038" max="2038" width="4.5703125" style="170" customWidth="1"/>
    <col min="2039" max="2039" width="27.42578125" style="170" customWidth="1"/>
    <col min="2040" max="2040" width="34.5703125" style="170" customWidth="1"/>
    <col min="2041" max="2044" width="24" style="170" customWidth="1"/>
    <col min="2045" max="2045" width="7.5703125" style="170" customWidth="1"/>
    <col min="2046" max="2288" width="9.42578125" style="170"/>
    <col min="2289" max="2289" width="0" style="170" hidden="1" customWidth="1"/>
    <col min="2290" max="2291" width="9.42578125" style="170"/>
    <col min="2292" max="2293" width="23" style="170" customWidth="1"/>
    <col min="2294" max="2294" width="4.5703125" style="170" customWidth="1"/>
    <col min="2295" max="2295" width="27.42578125" style="170" customWidth="1"/>
    <col min="2296" max="2296" width="34.5703125" style="170" customWidth="1"/>
    <col min="2297" max="2300" width="24" style="170" customWidth="1"/>
    <col min="2301" max="2301" width="7.5703125" style="170" customWidth="1"/>
    <col min="2302" max="2544" width="9.42578125" style="170"/>
    <col min="2545" max="2545" width="0" style="170" hidden="1" customWidth="1"/>
    <col min="2546" max="2547" width="9.42578125" style="170"/>
    <col min="2548" max="2549" width="23" style="170" customWidth="1"/>
    <col min="2550" max="2550" width="4.5703125" style="170" customWidth="1"/>
    <col min="2551" max="2551" width="27.42578125" style="170" customWidth="1"/>
    <col min="2552" max="2552" width="34.5703125" style="170" customWidth="1"/>
    <col min="2553" max="2556" width="24" style="170" customWidth="1"/>
    <col min="2557" max="2557" width="7.5703125" style="170" customWidth="1"/>
    <col min="2558" max="2800" width="9.42578125" style="170"/>
    <col min="2801" max="2801" width="0" style="170" hidden="1" customWidth="1"/>
    <col min="2802" max="2803" width="9.42578125" style="170"/>
    <col min="2804" max="2805" width="23" style="170" customWidth="1"/>
    <col min="2806" max="2806" width="4.5703125" style="170" customWidth="1"/>
    <col min="2807" max="2807" width="27.42578125" style="170" customWidth="1"/>
    <col min="2808" max="2808" width="34.5703125" style="170" customWidth="1"/>
    <col min="2809" max="2812" width="24" style="170" customWidth="1"/>
    <col min="2813" max="2813" width="7.5703125" style="170" customWidth="1"/>
    <col min="2814" max="3056" width="9.42578125" style="170"/>
    <col min="3057" max="3057" width="0" style="170" hidden="1" customWidth="1"/>
    <col min="3058" max="3059" width="9.42578125" style="170"/>
    <col min="3060" max="3061" width="23" style="170" customWidth="1"/>
    <col min="3062" max="3062" width="4.5703125" style="170" customWidth="1"/>
    <col min="3063" max="3063" width="27.42578125" style="170" customWidth="1"/>
    <col min="3064" max="3064" width="34.5703125" style="170" customWidth="1"/>
    <col min="3065" max="3068" width="24" style="170" customWidth="1"/>
    <col min="3069" max="3069" width="7.5703125" style="170" customWidth="1"/>
    <col min="3070" max="3312" width="9.42578125" style="170"/>
    <col min="3313" max="3313" width="0" style="170" hidden="1" customWidth="1"/>
    <col min="3314" max="3315" width="9.42578125" style="170"/>
    <col min="3316" max="3317" width="23" style="170" customWidth="1"/>
    <col min="3318" max="3318" width="4.5703125" style="170" customWidth="1"/>
    <col min="3319" max="3319" width="27.42578125" style="170" customWidth="1"/>
    <col min="3320" max="3320" width="34.5703125" style="170" customWidth="1"/>
    <col min="3321" max="3324" width="24" style="170" customWidth="1"/>
    <col min="3325" max="3325" width="7.5703125" style="170" customWidth="1"/>
    <col min="3326" max="3568" width="9.42578125" style="170"/>
    <col min="3569" max="3569" width="0" style="170" hidden="1" customWidth="1"/>
    <col min="3570" max="3571" width="9.42578125" style="170"/>
    <col min="3572" max="3573" width="23" style="170" customWidth="1"/>
    <col min="3574" max="3574" width="4.5703125" style="170" customWidth="1"/>
    <col min="3575" max="3575" width="27.42578125" style="170" customWidth="1"/>
    <col min="3576" max="3576" width="34.5703125" style="170" customWidth="1"/>
    <col min="3577" max="3580" width="24" style="170" customWidth="1"/>
    <col min="3581" max="3581" width="7.5703125" style="170" customWidth="1"/>
    <col min="3582" max="3824" width="9.42578125" style="170"/>
    <col min="3825" max="3825" width="0" style="170" hidden="1" customWidth="1"/>
    <col min="3826" max="3827" width="9.42578125" style="170"/>
    <col min="3828" max="3829" width="23" style="170" customWidth="1"/>
    <col min="3830" max="3830" width="4.5703125" style="170" customWidth="1"/>
    <col min="3831" max="3831" width="27.42578125" style="170" customWidth="1"/>
    <col min="3832" max="3832" width="34.5703125" style="170" customWidth="1"/>
    <col min="3833" max="3836" width="24" style="170" customWidth="1"/>
    <col min="3837" max="3837" width="7.5703125" style="170" customWidth="1"/>
    <col min="3838" max="4080" width="9.42578125" style="170"/>
    <col min="4081" max="4081" width="0" style="170" hidden="1" customWidth="1"/>
    <col min="4082" max="4083" width="9.42578125" style="170"/>
    <col min="4084" max="4085" width="23" style="170" customWidth="1"/>
    <col min="4086" max="4086" width="4.5703125" style="170" customWidth="1"/>
    <col min="4087" max="4087" width="27.42578125" style="170" customWidth="1"/>
    <col min="4088" max="4088" width="34.5703125" style="170" customWidth="1"/>
    <col min="4089" max="4092" width="24" style="170" customWidth="1"/>
    <col min="4093" max="4093" width="7.5703125" style="170" customWidth="1"/>
    <col min="4094" max="4336" width="9.42578125" style="170"/>
    <col min="4337" max="4337" width="0" style="170" hidden="1" customWidth="1"/>
    <col min="4338" max="4339" width="9.42578125" style="170"/>
    <col min="4340" max="4341" width="23" style="170" customWidth="1"/>
    <col min="4342" max="4342" width="4.5703125" style="170" customWidth="1"/>
    <col min="4343" max="4343" width="27.42578125" style="170" customWidth="1"/>
    <col min="4344" max="4344" width="34.5703125" style="170" customWidth="1"/>
    <col min="4345" max="4348" width="24" style="170" customWidth="1"/>
    <col min="4349" max="4349" width="7.5703125" style="170" customWidth="1"/>
    <col min="4350" max="4592" width="9.42578125" style="170"/>
    <col min="4593" max="4593" width="0" style="170" hidden="1" customWidth="1"/>
    <col min="4594" max="4595" width="9.42578125" style="170"/>
    <col min="4596" max="4597" width="23" style="170" customWidth="1"/>
    <col min="4598" max="4598" width="4.5703125" style="170" customWidth="1"/>
    <col min="4599" max="4599" width="27.42578125" style="170" customWidth="1"/>
    <col min="4600" max="4600" width="34.5703125" style="170" customWidth="1"/>
    <col min="4601" max="4604" width="24" style="170" customWidth="1"/>
    <col min="4605" max="4605" width="7.5703125" style="170" customWidth="1"/>
    <col min="4606" max="4848" width="9.42578125" style="170"/>
    <col min="4849" max="4849" width="0" style="170" hidden="1" customWidth="1"/>
    <col min="4850" max="4851" width="9.42578125" style="170"/>
    <col min="4852" max="4853" width="23" style="170" customWidth="1"/>
    <col min="4854" max="4854" width="4.5703125" style="170" customWidth="1"/>
    <col min="4855" max="4855" width="27.42578125" style="170" customWidth="1"/>
    <col min="4856" max="4856" width="34.5703125" style="170" customWidth="1"/>
    <col min="4857" max="4860" width="24" style="170" customWidth="1"/>
    <col min="4861" max="4861" width="7.5703125" style="170" customWidth="1"/>
    <col min="4862" max="5104" width="9.42578125" style="170"/>
    <col min="5105" max="5105" width="0" style="170" hidden="1" customWidth="1"/>
    <col min="5106" max="5107" width="9.42578125" style="170"/>
    <col min="5108" max="5109" width="23" style="170" customWidth="1"/>
    <col min="5110" max="5110" width="4.5703125" style="170" customWidth="1"/>
    <col min="5111" max="5111" width="27.42578125" style="170" customWidth="1"/>
    <col min="5112" max="5112" width="34.5703125" style="170" customWidth="1"/>
    <col min="5113" max="5116" width="24" style="170" customWidth="1"/>
    <col min="5117" max="5117" width="7.5703125" style="170" customWidth="1"/>
    <col min="5118" max="5360" width="9.42578125" style="170"/>
    <col min="5361" max="5361" width="0" style="170" hidden="1" customWidth="1"/>
    <col min="5362" max="5363" width="9.42578125" style="170"/>
    <col min="5364" max="5365" width="23" style="170" customWidth="1"/>
    <col min="5366" max="5366" width="4.5703125" style="170" customWidth="1"/>
    <col min="5367" max="5367" width="27.42578125" style="170" customWidth="1"/>
    <col min="5368" max="5368" width="34.5703125" style="170" customWidth="1"/>
    <col min="5369" max="5372" width="24" style="170" customWidth="1"/>
    <col min="5373" max="5373" width="7.5703125" style="170" customWidth="1"/>
    <col min="5374" max="5616" width="9.42578125" style="170"/>
    <col min="5617" max="5617" width="0" style="170" hidden="1" customWidth="1"/>
    <col min="5618" max="5619" width="9.42578125" style="170"/>
    <col min="5620" max="5621" width="23" style="170" customWidth="1"/>
    <col min="5622" max="5622" width="4.5703125" style="170" customWidth="1"/>
    <col min="5623" max="5623" width="27.42578125" style="170" customWidth="1"/>
    <col min="5624" max="5624" width="34.5703125" style="170" customWidth="1"/>
    <col min="5625" max="5628" width="24" style="170" customWidth="1"/>
    <col min="5629" max="5629" width="7.5703125" style="170" customWidth="1"/>
    <col min="5630" max="5872" width="9.42578125" style="170"/>
    <col min="5873" max="5873" width="0" style="170" hidden="1" customWidth="1"/>
    <col min="5874" max="5875" width="9.42578125" style="170"/>
    <col min="5876" max="5877" width="23" style="170" customWidth="1"/>
    <col min="5878" max="5878" width="4.5703125" style="170" customWidth="1"/>
    <col min="5879" max="5879" width="27.42578125" style="170" customWidth="1"/>
    <col min="5880" max="5880" width="34.5703125" style="170" customWidth="1"/>
    <col min="5881" max="5884" width="24" style="170" customWidth="1"/>
    <col min="5885" max="5885" width="7.5703125" style="170" customWidth="1"/>
    <col min="5886" max="6128" width="9.42578125" style="170"/>
    <col min="6129" max="6129" width="0" style="170" hidden="1" customWidth="1"/>
    <col min="6130" max="6131" width="9.42578125" style="170"/>
    <col min="6132" max="6133" width="23" style="170" customWidth="1"/>
    <col min="6134" max="6134" width="4.5703125" style="170" customWidth="1"/>
    <col min="6135" max="6135" width="27.42578125" style="170" customWidth="1"/>
    <col min="6136" max="6136" width="34.5703125" style="170" customWidth="1"/>
    <col min="6137" max="6140" width="24" style="170" customWidth="1"/>
    <col min="6141" max="6141" width="7.5703125" style="170" customWidth="1"/>
    <col min="6142" max="6384" width="9.42578125" style="170"/>
    <col min="6385" max="6385" width="0" style="170" hidden="1" customWidth="1"/>
    <col min="6386" max="6387" width="9.42578125" style="170"/>
    <col min="6388" max="6389" width="23" style="170" customWidth="1"/>
    <col min="6390" max="6390" width="4.5703125" style="170" customWidth="1"/>
    <col min="6391" max="6391" width="27.42578125" style="170" customWidth="1"/>
    <col min="6392" max="6392" width="34.5703125" style="170" customWidth="1"/>
    <col min="6393" max="6396" width="24" style="170" customWidth="1"/>
    <col min="6397" max="6397" width="7.5703125" style="170" customWidth="1"/>
    <col min="6398" max="6640" width="9.42578125" style="170"/>
    <col min="6641" max="6641" width="0" style="170" hidden="1" customWidth="1"/>
    <col min="6642" max="6643" width="9.42578125" style="170"/>
    <col min="6644" max="6645" width="23" style="170" customWidth="1"/>
    <col min="6646" max="6646" width="4.5703125" style="170" customWidth="1"/>
    <col min="6647" max="6647" width="27.42578125" style="170" customWidth="1"/>
    <col min="6648" max="6648" width="34.5703125" style="170" customWidth="1"/>
    <col min="6649" max="6652" width="24" style="170" customWidth="1"/>
    <col min="6653" max="6653" width="7.5703125" style="170" customWidth="1"/>
    <col min="6654" max="6896" width="9.42578125" style="170"/>
    <col min="6897" max="6897" width="0" style="170" hidden="1" customWidth="1"/>
    <col min="6898" max="6899" width="9.42578125" style="170"/>
    <col min="6900" max="6901" width="23" style="170" customWidth="1"/>
    <col min="6902" max="6902" width="4.5703125" style="170" customWidth="1"/>
    <col min="6903" max="6903" width="27.42578125" style="170" customWidth="1"/>
    <col min="6904" max="6904" width="34.5703125" style="170" customWidth="1"/>
    <col min="6905" max="6908" width="24" style="170" customWidth="1"/>
    <col min="6909" max="6909" width="7.5703125" style="170" customWidth="1"/>
    <col min="6910" max="7152" width="9.42578125" style="170"/>
    <col min="7153" max="7153" width="0" style="170" hidden="1" customWidth="1"/>
    <col min="7154" max="7155" width="9.42578125" style="170"/>
    <col min="7156" max="7157" width="23" style="170" customWidth="1"/>
    <col min="7158" max="7158" width="4.5703125" style="170" customWidth="1"/>
    <col min="7159" max="7159" width="27.42578125" style="170" customWidth="1"/>
    <col min="7160" max="7160" width="34.5703125" style="170" customWidth="1"/>
    <col min="7161" max="7164" width="24" style="170" customWidth="1"/>
    <col min="7165" max="7165" width="7.5703125" style="170" customWidth="1"/>
    <col min="7166" max="7408" width="9.42578125" style="170"/>
    <col min="7409" max="7409" width="0" style="170" hidden="1" customWidth="1"/>
    <col min="7410" max="7411" width="9.42578125" style="170"/>
    <col min="7412" max="7413" width="23" style="170" customWidth="1"/>
    <col min="7414" max="7414" width="4.5703125" style="170" customWidth="1"/>
    <col min="7415" max="7415" width="27.42578125" style="170" customWidth="1"/>
    <col min="7416" max="7416" width="34.5703125" style="170" customWidth="1"/>
    <col min="7417" max="7420" width="24" style="170" customWidth="1"/>
    <col min="7421" max="7421" width="7.5703125" style="170" customWidth="1"/>
    <col min="7422" max="7664" width="9.42578125" style="170"/>
    <col min="7665" max="7665" width="0" style="170" hidden="1" customWidth="1"/>
    <col min="7666" max="7667" width="9.42578125" style="170"/>
    <col min="7668" max="7669" width="23" style="170" customWidth="1"/>
    <col min="7670" max="7670" width="4.5703125" style="170" customWidth="1"/>
    <col min="7671" max="7671" width="27.42578125" style="170" customWidth="1"/>
    <col min="7672" max="7672" width="34.5703125" style="170" customWidth="1"/>
    <col min="7673" max="7676" width="24" style="170" customWidth="1"/>
    <col min="7677" max="7677" width="7.5703125" style="170" customWidth="1"/>
    <col min="7678" max="7920" width="9.42578125" style="170"/>
    <col min="7921" max="7921" width="0" style="170" hidden="1" customWidth="1"/>
    <col min="7922" max="7923" width="9.42578125" style="170"/>
    <col min="7924" max="7925" width="23" style="170" customWidth="1"/>
    <col min="7926" max="7926" width="4.5703125" style="170" customWidth="1"/>
    <col min="7927" max="7927" width="27.42578125" style="170" customWidth="1"/>
    <col min="7928" max="7928" width="34.5703125" style="170" customWidth="1"/>
    <col min="7929" max="7932" width="24" style="170" customWidth="1"/>
    <col min="7933" max="7933" width="7.5703125" style="170" customWidth="1"/>
    <col min="7934" max="8176" width="9.42578125" style="170"/>
    <col min="8177" max="8177" width="0" style="170" hidden="1" customWidth="1"/>
    <col min="8178" max="8179" width="9.42578125" style="170"/>
    <col min="8180" max="8181" width="23" style="170" customWidth="1"/>
    <col min="8182" max="8182" width="4.5703125" style="170" customWidth="1"/>
    <col min="8183" max="8183" width="27.42578125" style="170" customWidth="1"/>
    <col min="8184" max="8184" width="34.5703125" style="170" customWidth="1"/>
    <col min="8185" max="8188" width="24" style="170" customWidth="1"/>
    <col min="8189" max="8189" width="7.5703125" style="170" customWidth="1"/>
    <col min="8190" max="8432" width="9.42578125" style="170"/>
    <col min="8433" max="8433" width="0" style="170" hidden="1" customWidth="1"/>
    <col min="8434" max="8435" width="9.42578125" style="170"/>
    <col min="8436" max="8437" width="23" style="170" customWidth="1"/>
    <col min="8438" max="8438" width="4.5703125" style="170" customWidth="1"/>
    <col min="8439" max="8439" width="27.42578125" style="170" customWidth="1"/>
    <col min="8440" max="8440" width="34.5703125" style="170" customWidth="1"/>
    <col min="8441" max="8444" width="24" style="170" customWidth="1"/>
    <col min="8445" max="8445" width="7.5703125" style="170" customWidth="1"/>
    <col min="8446" max="8688" width="9.42578125" style="170"/>
    <col min="8689" max="8689" width="0" style="170" hidden="1" customWidth="1"/>
    <col min="8690" max="8691" width="9.42578125" style="170"/>
    <col min="8692" max="8693" width="23" style="170" customWidth="1"/>
    <col min="8694" max="8694" width="4.5703125" style="170" customWidth="1"/>
    <col min="8695" max="8695" width="27.42578125" style="170" customWidth="1"/>
    <col min="8696" max="8696" width="34.5703125" style="170" customWidth="1"/>
    <col min="8697" max="8700" width="24" style="170" customWidth="1"/>
    <col min="8701" max="8701" width="7.5703125" style="170" customWidth="1"/>
    <col min="8702" max="8944" width="9.42578125" style="170"/>
    <col min="8945" max="8945" width="0" style="170" hidden="1" customWidth="1"/>
    <col min="8946" max="8947" width="9.42578125" style="170"/>
    <col min="8948" max="8949" width="23" style="170" customWidth="1"/>
    <col min="8950" max="8950" width="4.5703125" style="170" customWidth="1"/>
    <col min="8951" max="8951" width="27.42578125" style="170" customWidth="1"/>
    <col min="8952" max="8952" width="34.5703125" style="170" customWidth="1"/>
    <col min="8953" max="8956" width="24" style="170" customWidth="1"/>
    <col min="8957" max="8957" width="7.5703125" style="170" customWidth="1"/>
    <col min="8958" max="9200" width="9.42578125" style="170"/>
    <col min="9201" max="9201" width="0" style="170" hidden="1" customWidth="1"/>
    <col min="9202" max="9203" width="9.42578125" style="170"/>
    <col min="9204" max="9205" width="23" style="170" customWidth="1"/>
    <col min="9206" max="9206" width="4.5703125" style="170" customWidth="1"/>
    <col min="9207" max="9207" width="27.42578125" style="170" customWidth="1"/>
    <col min="9208" max="9208" width="34.5703125" style="170" customWidth="1"/>
    <col min="9209" max="9212" width="24" style="170" customWidth="1"/>
    <col min="9213" max="9213" width="7.5703125" style="170" customWidth="1"/>
    <col min="9214" max="9456" width="9.42578125" style="170"/>
    <col min="9457" max="9457" width="0" style="170" hidden="1" customWidth="1"/>
    <col min="9458" max="9459" width="9.42578125" style="170"/>
    <col min="9460" max="9461" width="23" style="170" customWidth="1"/>
    <col min="9462" max="9462" width="4.5703125" style="170" customWidth="1"/>
    <col min="9463" max="9463" width="27.42578125" style="170" customWidth="1"/>
    <col min="9464" max="9464" width="34.5703125" style="170" customWidth="1"/>
    <col min="9465" max="9468" width="24" style="170" customWidth="1"/>
    <col min="9469" max="9469" width="7.5703125" style="170" customWidth="1"/>
    <col min="9470" max="9712" width="9.42578125" style="170"/>
    <col min="9713" max="9713" width="0" style="170" hidden="1" customWidth="1"/>
    <col min="9714" max="9715" width="9.42578125" style="170"/>
    <col min="9716" max="9717" width="23" style="170" customWidth="1"/>
    <col min="9718" max="9718" width="4.5703125" style="170" customWidth="1"/>
    <col min="9719" max="9719" width="27.42578125" style="170" customWidth="1"/>
    <col min="9720" max="9720" width="34.5703125" style="170" customWidth="1"/>
    <col min="9721" max="9724" width="24" style="170" customWidth="1"/>
    <col min="9725" max="9725" width="7.5703125" style="170" customWidth="1"/>
    <col min="9726" max="9968" width="9.42578125" style="170"/>
    <col min="9969" max="9969" width="0" style="170" hidden="1" customWidth="1"/>
    <col min="9970" max="9971" width="9.42578125" style="170"/>
    <col min="9972" max="9973" width="23" style="170" customWidth="1"/>
    <col min="9974" max="9974" width="4.5703125" style="170" customWidth="1"/>
    <col min="9975" max="9975" width="27.42578125" style="170" customWidth="1"/>
    <col min="9976" max="9976" width="34.5703125" style="170" customWidth="1"/>
    <col min="9977" max="9980" width="24" style="170" customWidth="1"/>
    <col min="9981" max="9981" width="7.5703125" style="170" customWidth="1"/>
    <col min="9982" max="10224" width="9.42578125" style="170"/>
    <col min="10225" max="10225" width="0" style="170" hidden="1" customWidth="1"/>
    <col min="10226" max="10227" width="9.42578125" style="170"/>
    <col min="10228" max="10229" width="23" style="170" customWidth="1"/>
    <col min="10230" max="10230" width="4.5703125" style="170" customWidth="1"/>
    <col min="10231" max="10231" width="27.42578125" style="170" customWidth="1"/>
    <col min="10232" max="10232" width="34.5703125" style="170" customWidth="1"/>
    <col min="10233" max="10236" width="24" style="170" customWidth="1"/>
    <col min="10237" max="10237" width="7.5703125" style="170" customWidth="1"/>
    <col min="10238" max="10480" width="9.42578125" style="170"/>
    <col min="10481" max="10481" width="0" style="170" hidden="1" customWidth="1"/>
    <col min="10482" max="10483" width="9.42578125" style="170"/>
    <col min="10484" max="10485" width="23" style="170" customWidth="1"/>
    <col min="10486" max="10486" width="4.5703125" style="170" customWidth="1"/>
    <col min="10487" max="10487" width="27.42578125" style="170" customWidth="1"/>
    <col min="10488" max="10488" width="34.5703125" style="170" customWidth="1"/>
    <col min="10489" max="10492" width="24" style="170" customWidth="1"/>
    <col min="10493" max="10493" width="7.5703125" style="170" customWidth="1"/>
    <col min="10494" max="10736" width="9.42578125" style="170"/>
    <col min="10737" max="10737" width="0" style="170" hidden="1" customWidth="1"/>
    <col min="10738" max="10739" width="9.42578125" style="170"/>
    <col min="10740" max="10741" width="23" style="170" customWidth="1"/>
    <col min="10742" max="10742" width="4.5703125" style="170" customWidth="1"/>
    <col min="10743" max="10743" width="27.42578125" style="170" customWidth="1"/>
    <col min="10744" max="10744" width="34.5703125" style="170" customWidth="1"/>
    <col min="10745" max="10748" width="24" style="170" customWidth="1"/>
    <col min="10749" max="10749" width="7.5703125" style="170" customWidth="1"/>
    <col min="10750" max="10992" width="9.42578125" style="170"/>
    <col min="10993" max="10993" width="0" style="170" hidden="1" customWidth="1"/>
    <col min="10994" max="10995" width="9.42578125" style="170"/>
    <col min="10996" max="10997" width="23" style="170" customWidth="1"/>
    <col min="10998" max="10998" width="4.5703125" style="170" customWidth="1"/>
    <col min="10999" max="10999" width="27.42578125" style="170" customWidth="1"/>
    <col min="11000" max="11000" width="34.5703125" style="170" customWidth="1"/>
    <col min="11001" max="11004" width="24" style="170" customWidth="1"/>
    <col min="11005" max="11005" width="7.5703125" style="170" customWidth="1"/>
    <col min="11006" max="11248" width="9.42578125" style="170"/>
    <col min="11249" max="11249" width="0" style="170" hidden="1" customWidth="1"/>
    <col min="11250" max="11251" width="9.42578125" style="170"/>
    <col min="11252" max="11253" width="23" style="170" customWidth="1"/>
    <col min="11254" max="11254" width="4.5703125" style="170" customWidth="1"/>
    <col min="11255" max="11255" width="27.42578125" style="170" customWidth="1"/>
    <col min="11256" max="11256" width="34.5703125" style="170" customWidth="1"/>
    <col min="11257" max="11260" width="24" style="170" customWidth="1"/>
    <col min="11261" max="11261" width="7.5703125" style="170" customWidth="1"/>
    <col min="11262" max="11504" width="9.42578125" style="170"/>
    <col min="11505" max="11505" width="0" style="170" hidden="1" customWidth="1"/>
    <col min="11506" max="11507" width="9.42578125" style="170"/>
    <col min="11508" max="11509" width="23" style="170" customWidth="1"/>
    <col min="11510" max="11510" width="4.5703125" style="170" customWidth="1"/>
    <col min="11511" max="11511" width="27.42578125" style="170" customWidth="1"/>
    <col min="11512" max="11512" width="34.5703125" style="170" customWidth="1"/>
    <col min="11513" max="11516" width="24" style="170" customWidth="1"/>
    <col min="11517" max="11517" width="7.5703125" style="170" customWidth="1"/>
    <col min="11518" max="11760" width="9.42578125" style="170"/>
    <col min="11761" max="11761" width="0" style="170" hidden="1" customWidth="1"/>
    <col min="11762" max="11763" width="9.42578125" style="170"/>
    <col min="11764" max="11765" width="23" style="170" customWidth="1"/>
    <col min="11766" max="11766" width="4.5703125" style="170" customWidth="1"/>
    <col min="11767" max="11767" width="27.42578125" style="170" customWidth="1"/>
    <col min="11768" max="11768" width="34.5703125" style="170" customWidth="1"/>
    <col min="11769" max="11772" width="24" style="170" customWidth="1"/>
    <col min="11773" max="11773" width="7.5703125" style="170" customWidth="1"/>
    <col min="11774" max="12016" width="9.42578125" style="170"/>
    <col min="12017" max="12017" width="0" style="170" hidden="1" customWidth="1"/>
    <col min="12018" max="12019" width="9.42578125" style="170"/>
    <col min="12020" max="12021" width="23" style="170" customWidth="1"/>
    <col min="12022" max="12022" width="4.5703125" style="170" customWidth="1"/>
    <col min="12023" max="12023" width="27.42578125" style="170" customWidth="1"/>
    <col min="12024" max="12024" width="34.5703125" style="170" customWidth="1"/>
    <col min="12025" max="12028" width="24" style="170" customWidth="1"/>
    <col min="12029" max="12029" width="7.5703125" style="170" customWidth="1"/>
    <col min="12030" max="12272" width="9.42578125" style="170"/>
    <col min="12273" max="12273" width="0" style="170" hidden="1" customWidth="1"/>
    <col min="12274" max="12275" width="9.42578125" style="170"/>
    <col min="12276" max="12277" width="23" style="170" customWidth="1"/>
    <col min="12278" max="12278" width="4.5703125" style="170" customWidth="1"/>
    <col min="12279" max="12279" width="27.42578125" style="170" customWidth="1"/>
    <col min="12280" max="12280" width="34.5703125" style="170" customWidth="1"/>
    <col min="12281" max="12284" width="24" style="170" customWidth="1"/>
    <col min="12285" max="12285" width="7.5703125" style="170" customWidth="1"/>
    <col min="12286" max="12528" width="9.42578125" style="170"/>
    <col min="12529" max="12529" width="0" style="170" hidden="1" customWidth="1"/>
    <col min="12530" max="12531" width="9.42578125" style="170"/>
    <col min="12532" max="12533" width="23" style="170" customWidth="1"/>
    <col min="12534" max="12534" width="4.5703125" style="170" customWidth="1"/>
    <col min="12535" max="12535" width="27.42578125" style="170" customWidth="1"/>
    <col min="12536" max="12536" width="34.5703125" style="170" customWidth="1"/>
    <col min="12537" max="12540" width="24" style="170" customWidth="1"/>
    <col min="12541" max="12541" width="7.5703125" style="170" customWidth="1"/>
    <col min="12542" max="12784" width="9.42578125" style="170"/>
    <col min="12785" max="12785" width="0" style="170" hidden="1" customWidth="1"/>
    <col min="12786" max="12787" width="9.42578125" style="170"/>
    <col min="12788" max="12789" width="23" style="170" customWidth="1"/>
    <col min="12790" max="12790" width="4.5703125" style="170" customWidth="1"/>
    <col min="12791" max="12791" width="27.42578125" style="170" customWidth="1"/>
    <col min="12792" max="12792" width="34.5703125" style="170" customWidth="1"/>
    <col min="12793" max="12796" width="24" style="170" customWidth="1"/>
    <col min="12797" max="12797" width="7.5703125" style="170" customWidth="1"/>
    <col min="12798" max="13040" width="9.42578125" style="170"/>
    <col min="13041" max="13041" width="0" style="170" hidden="1" customWidth="1"/>
    <col min="13042" max="13043" width="9.42578125" style="170"/>
    <col min="13044" max="13045" width="23" style="170" customWidth="1"/>
    <col min="13046" max="13046" width="4.5703125" style="170" customWidth="1"/>
    <col min="13047" max="13047" width="27.42578125" style="170" customWidth="1"/>
    <col min="13048" max="13048" width="34.5703125" style="170" customWidth="1"/>
    <col min="13049" max="13052" width="24" style="170" customWidth="1"/>
    <col min="13053" max="13053" width="7.5703125" style="170" customWidth="1"/>
    <col min="13054" max="13296" width="9.42578125" style="170"/>
    <col min="13297" max="13297" width="0" style="170" hidden="1" customWidth="1"/>
    <col min="13298" max="13299" width="9.42578125" style="170"/>
    <col min="13300" max="13301" width="23" style="170" customWidth="1"/>
    <col min="13302" max="13302" width="4.5703125" style="170" customWidth="1"/>
    <col min="13303" max="13303" width="27.42578125" style="170" customWidth="1"/>
    <col min="13304" max="13304" width="34.5703125" style="170" customWidth="1"/>
    <col min="13305" max="13308" width="24" style="170" customWidth="1"/>
    <col min="13309" max="13309" width="7.5703125" style="170" customWidth="1"/>
    <col min="13310" max="13552" width="9.42578125" style="170"/>
    <col min="13553" max="13553" width="0" style="170" hidden="1" customWidth="1"/>
    <col min="13554" max="13555" width="9.42578125" style="170"/>
    <col min="13556" max="13557" width="23" style="170" customWidth="1"/>
    <col min="13558" max="13558" width="4.5703125" style="170" customWidth="1"/>
    <col min="13559" max="13559" width="27.42578125" style="170" customWidth="1"/>
    <col min="13560" max="13560" width="34.5703125" style="170" customWidth="1"/>
    <col min="13561" max="13564" width="24" style="170" customWidth="1"/>
    <col min="13565" max="13565" width="7.5703125" style="170" customWidth="1"/>
    <col min="13566" max="13808" width="9.42578125" style="170"/>
    <col min="13809" max="13809" width="0" style="170" hidden="1" customWidth="1"/>
    <col min="13810" max="13811" width="9.42578125" style="170"/>
    <col min="13812" max="13813" width="23" style="170" customWidth="1"/>
    <col min="13814" max="13814" width="4.5703125" style="170" customWidth="1"/>
    <col min="13815" max="13815" width="27.42578125" style="170" customWidth="1"/>
    <col min="13816" max="13816" width="34.5703125" style="170" customWidth="1"/>
    <col min="13817" max="13820" width="24" style="170" customWidth="1"/>
    <col min="13821" max="13821" width="7.5703125" style="170" customWidth="1"/>
    <col min="13822" max="14064" width="9.42578125" style="170"/>
    <col min="14065" max="14065" width="0" style="170" hidden="1" customWidth="1"/>
    <col min="14066" max="14067" width="9.42578125" style="170"/>
    <col min="14068" max="14069" width="23" style="170" customWidth="1"/>
    <col min="14070" max="14070" width="4.5703125" style="170" customWidth="1"/>
    <col min="14071" max="14071" width="27.42578125" style="170" customWidth="1"/>
    <col min="14072" max="14072" width="34.5703125" style="170" customWidth="1"/>
    <col min="14073" max="14076" width="24" style="170" customWidth="1"/>
    <col min="14077" max="14077" width="7.5703125" style="170" customWidth="1"/>
    <col min="14078" max="14320" width="9.42578125" style="170"/>
    <col min="14321" max="14321" width="0" style="170" hidden="1" customWidth="1"/>
    <col min="14322" max="14323" width="9.42578125" style="170"/>
    <col min="14324" max="14325" width="23" style="170" customWidth="1"/>
    <col min="14326" max="14326" width="4.5703125" style="170" customWidth="1"/>
    <col min="14327" max="14327" width="27.42578125" style="170" customWidth="1"/>
    <col min="14328" max="14328" width="34.5703125" style="170" customWidth="1"/>
    <col min="14329" max="14332" width="24" style="170" customWidth="1"/>
    <col min="14333" max="14333" width="7.5703125" style="170" customWidth="1"/>
    <col min="14334" max="14576" width="9.42578125" style="170"/>
    <col min="14577" max="14577" width="0" style="170" hidden="1" customWidth="1"/>
    <col min="14578" max="14579" width="9.42578125" style="170"/>
    <col min="14580" max="14581" width="23" style="170" customWidth="1"/>
    <col min="14582" max="14582" width="4.5703125" style="170" customWidth="1"/>
    <col min="14583" max="14583" width="27.42578125" style="170" customWidth="1"/>
    <col min="14584" max="14584" width="34.5703125" style="170" customWidth="1"/>
    <col min="14585" max="14588" width="24" style="170" customWidth="1"/>
    <col min="14589" max="14589" width="7.5703125" style="170" customWidth="1"/>
    <col min="14590" max="14832" width="9.42578125" style="170"/>
    <col min="14833" max="14833" width="0" style="170" hidden="1" customWidth="1"/>
    <col min="14834" max="14835" width="9.42578125" style="170"/>
    <col min="14836" max="14837" width="23" style="170" customWidth="1"/>
    <col min="14838" max="14838" width="4.5703125" style="170" customWidth="1"/>
    <col min="14839" max="14839" width="27.42578125" style="170" customWidth="1"/>
    <col min="14840" max="14840" width="34.5703125" style="170" customWidth="1"/>
    <col min="14841" max="14844" width="24" style="170" customWidth="1"/>
    <col min="14845" max="14845" width="7.5703125" style="170" customWidth="1"/>
    <col min="14846" max="15088" width="9.42578125" style="170"/>
    <col min="15089" max="15089" width="0" style="170" hidden="1" customWidth="1"/>
    <col min="15090" max="15091" width="9.42578125" style="170"/>
    <col min="15092" max="15093" width="23" style="170" customWidth="1"/>
    <col min="15094" max="15094" width="4.5703125" style="170" customWidth="1"/>
    <col min="15095" max="15095" width="27.42578125" style="170" customWidth="1"/>
    <col min="15096" max="15096" width="34.5703125" style="170" customWidth="1"/>
    <col min="15097" max="15100" width="24" style="170" customWidth="1"/>
    <col min="15101" max="15101" width="7.5703125" style="170" customWidth="1"/>
    <col min="15102" max="15344" width="9.42578125" style="170"/>
    <col min="15345" max="15345" width="0" style="170" hidden="1" customWidth="1"/>
    <col min="15346" max="15347" width="9.42578125" style="170"/>
    <col min="15348" max="15349" width="23" style="170" customWidth="1"/>
    <col min="15350" max="15350" width="4.5703125" style="170" customWidth="1"/>
    <col min="15351" max="15351" width="27.42578125" style="170" customWidth="1"/>
    <col min="15352" max="15352" width="34.5703125" style="170" customWidth="1"/>
    <col min="15353" max="15356" width="24" style="170" customWidth="1"/>
    <col min="15357" max="15357" width="7.5703125" style="170" customWidth="1"/>
    <col min="15358" max="15600" width="9.42578125" style="170"/>
    <col min="15601" max="15601" width="0" style="170" hidden="1" customWidth="1"/>
    <col min="15602" max="15603" width="9.42578125" style="170"/>
    <col min="15604" max="15605" width="23" style="170" customWidth="1"/>
    <col min="15606" max="15606" width="4.5703125" style="170" customWidth="1"/>
    <col min="15607" max="15607" width="27.42578125" style="170" customWidth="1"/>
    <col min="15608" max="15608" width="34.5703125" style="170" customWidth="1"/>
    <col min="15609" max="15612" width="24" style="170" customWidth="1"/>
    <col min="15613" max="15613" width="7.5703125" style="170" customWidth="1"/>
    <col min="15614" max="15856" width="9.42578125" style="170"/>
    <col min="15857" max="15857" width="0" style="170" hidden="1" customWidth="1"/>
    <col min="15858" max="15859" width="9.42578125" style="170"/>
    <col min="15860" max="15861" width="23" style="170" customWidth="1"/>
    <col min="15862" max="15862" width="4.5703125" style="170" customWidth="1"/>
    <col min="15863" max="15863" width="27.42578125" style="170" customWidth="1"/>
    <col min="15864" max="15864" width="34.5703125" style="170" customWidth="1"/>
    <col min="15865" max="15868" width="24" style="170" customWidth="1"/>
    <col min="15869" max="15869" width="7.5703125" style="170" customWidth="1"/>
    <col min="15870" max="16112" width="9.42578125" style="170"/>
    <col min="16113" max="16113" width="0" style="170" hidden="1" customWidth="1"/>
    <col min="16114" max="16115" width="9.42578125" style="170"/>
    <col min="16116" max="16117" width="23" style="170" customWidth="1"/>
    <col min="16118" max="16118" width="4.5703125" style="170" customWidth="1"/>
    <col min="16119" max="16119" width="27.42578125" style="170" customWidth="1"/>
    <col min="16120" max="16120" width="34.5703125" style="170" customWidth="1"/>
    <col min="16121" max="16124" width="24" style="170" customWidth="1"/>
    <col min="16125" max="16125" width="7.5703125" style="170" customWidth="1"/>
    <col min="16126" max="16384" width="9.42578125" style="170"/>
  </cols>
  <sheetData>
    <row r="1" spans="2:18" ht="15" hidden="1" customHeight="1"/>
    <row r="2" spans="2:18" ht="15" hidden="1" customHeight="1">
      <c r="C2" s="171" t="s">
        <v>122</v>
      </c>
      <c r="D2" s="171"/>
      <c r="E2" s="172" t="s">
        <v>123</v>
      </c>
      <c r="F2" s="173"/>
      <c r="G2" s="173"/>
      <c r="H2" s="173"/>
      <c r="I2" s="173"/>
      <c r="J2" s="173"/>
      <c r="K2" s="173"/>
    </row>
    <row r="3" spans="2:18" ht="15" hidden="1" customHeight="1">
      <c r="C3" s="171" t="s">
        <v>124</v>
      </c>
      <c r="D3" s="171"/>
      <c r="E3" s="174">
        <v>7647120</v>
      </c>
      <c r="F3" s="173"/>
      <c r="G3" s="173"/>
      <c r="H3" s="173"/>
      <c r="I3" s="173"/>
      <c r="J3" s="173"/>
      <c r="K3" s="173"/>
    </row>
    <row r="4" spans="2:18" ht="15" hidden="1" customHeight="1">
      <c r="C4" s="171" t="s">
        <v>14</v>
      </c>
      <c r="D4" s="171"/>
      <c r="E4" s="175">
        <v>0.15</v>
      </c>
      <c r="F4" s="173"/>
      <c r="G4" s="173"/>
      <c r="H4" s="173"/>
      <c r="I4" s="173"/>
      <c r="J4" s="173"/>
      <c r="K4" s="173"/>
    </row>
    <row r="5" spans="2:18" ht="15" hidden="1" customHeight="1">
      <c r="C5" s="171" t="s">
        <v>125</v>
      </c>
      <c r="D5" s="171"/>
      <c r="E5" s="176">
        <v>0.06</v>
      </c>
      <c r="F5" s="173"/>
      <c r="G5" s="173"/>
      <c r="H5" s="173"/>
      <c r="I5" s="173"/>
      <c r="J5" s="173"/>
      <c r="K5" s="173"/>
    </row>
    <row r="6" spans="2:18" ht="15" hidden="1" customHeight="1">
      <c r="C6" s="171" t="s">
        <v>126</v>
      </c>
      <c r="D6" s="171"/>
      <c r="E6" s="177">
        <v>360</v>
      </c>
      <c r="F6" s="173"/>
      <c r="G6" s="173"/>
      <c r="H6" s="173"/>
      <c r="I6" s="173"/>
      <c r="J6" s="173"/>
      <c r="K6" s="173"/>
    </row>
    <row r="7" spans="2:18" ht="15" hidden="1" customHeight="1">
      <c r="C7" s="171" t="s">
        <v>127</v>
      </c>
      <c r="D7" s="171"/>
      <c r="E7" s="178">
        <v>12000000</v>
      </c>
      <c r="F7" s="173"/>
      <c r="G7" s="173"/>
      <c r="H7" s="173"/>
      <c r="I7" s="173"/>
      <c r="J7" s="173"/>
      <c r="K7" s="173"/>
    </row>
    <row r="8" spans="2:18" ht="15">
      <c r="B8" s="179"/>
      <c r="C8" s="180"/>
      <c r="D8" s="180"/>
      <c r="E8" s="179"/>
      <c r="F8" s="179"/>
      <c r="G8" s="179"/>
      <c r="H8" s="179"/>
      <c r="I8" s="179"/>
      <c r="J8" s="179"/>
      <c r="K8" s="179"/>
      <c r="R8" s="181"/>
    </row>
    <row r="9" spans="2:18" ht="15">
      <c r="B9" s="179"/>
      <c r="C9" s="180"/>
      <c r="D9" s="180"/>
      <c r="E9" s="179"/>
      <c r="F9" s="179"/>
      <c r="G9" s="179"/>
      <c r="H9" s="179"/>
      <c r="I9" s="179"/>
      <c r="J9" s="179"/>
      <c r="K9" s="179"/>
      <c r="O9" s="181"/>
      <c r="P9" s="181"/>
      <c r="R9" s="181"/>
    </row>
    <row r="10" spans="2:18" ht="15">
      <c r="B10" s="179"/>
      <c r="C10" s="180"/>
      <c r="D10" s="180"/>
      <c r="E10" s="179"/>
      <c r="F10" s="179"/>
      <c r="G10" s="179"/>
      <c r="H10" s="179"/>
      <c r="I10" s="179"/>
      <c r="J10" s="179"/>
      <c r="K10" s="179"/>
      <c r="O10" s="181"/>
      <c r="P10" s="181"/>
      <c r="R10" s="181"/>
    </row>
    <row r="11" spans="2:18" ht="15">
      <c r="B11" s="179"/>
      <c r="C11" s="180"/>
      <c r="D11" s="180"/>
      <c r="E11" s="179"/>
      <c r="F11" s="179"/>
      <c r="G11" s="179"/>
      <c r="H11" s="179"/>
      <c r="I11" s="179"/>
      <c r="J11" s="179"/>
      <c r="K11" s="179"/>
      <c r="O11" s="181"/>
      <c r="P11" s="181"/>
      <c r="R11" s="181"/>
    </row>
    <row r="12" spans="2:18" ht="22.5">
      <c r="B12" s="182"/>
      <c r="C12" s="179"/>
      <c r="D12" s="179"/>
      <c r="E12" s="179"/>
      <c r="F12" s="182" t="s">
        <v>128</v>
      </c>
      <c r="G12" s="179"/>
      <c r="H12" s="179"/>
      <c r="I12" s="179"/>
      <c r="J12" s="182"/>
      <c r="K12" s="182"/>
      <c r="O12" s="181"/>
      <c r="P12" s="181"/>
      <c r="R12" s="181"/>
    </row>
    <row r="13" spans="2:18" ht="15">
      <c r="B13" s="179"/>
      <c r="C13" s="183"/>
      <c r="D13" s="183"/>
      <c r="E13" s="184"/>
      <c r="F13" s="185"/>
      <c r="G13" s="185"/>
      <c r="H13" s="185"/>
      <c r="I13" s="185"/>
      <c r="J13" s="185"/>
      <c r="K13" s="185"/>
      <c r="O13" s="181"/>
      <c r="P13" s="181"/>
      <c r="R13" s="181"/>
    </row>
    <row r="14" spans="2:18" ht="15" hidden="1">
      <c r="B14" s="179"/>
      <c r="C14" s="183"/>
      <c r="D14" s="183"/>
      <c r="E14" s="184"/>
      <c r="F14" s="185"/>
      <c r="G14" s="185"/>
      <c r="H14" s="185"/>
      <c r="I14" s="185"/>
      <c r="J14" s="185"/>
      <c r="K14" s="185"/>
      <c r="O14" s="181"/>
      <c r="P14" s="181"/>
      <c r="R14" s="181"/>
    </row>
    <row r="15" spans="2:18" ht="15">
      <c r="B15" s="179"/>
      <c r="C15" s="183"/>
      <c r="D15" s="183"/>
      <c r="E15" s="184"/>
      <c r="F15" s="185"/>
      <c r="G15" s="185"/>
      <c r="H15" s="185"/>
      <c r="I15" s="185"/>
      <c r="J15" s="185"/>
      <c r="K15" s="185"/>
      <c r="O15" s="181"/>
      <c r="P15" s="181"/>
      <c r="R15" s="181"/>
    </row>
    <row r="16" spans="2:18" ht="36" customHeight="1">
      <c r="B16" s="179"/>
      <c r="C16" s="186"/>
      <c r="D16" s="186"/>
      <c r="E16" s="536" t="s">
        <v>129</v>
      </c>
      <c r="F16" s="536"/>
      <c r="G16" s="247" t="str">
        <f>'Основной лист заполнения данных'!D10</f>
        <v>Семейная ипотека</v>
      </c>
      <c r="H16" s="189"/>
      <c r="I16" s="190"/>
      <c r="J16" s="190"/>
      <c r="K16" s="190"/>
      <c r="O16" s="181"/>
      <c r="P16" s="181"/>
      <c r="R16" s="181"/>
    </row>
    <row r="17" spans="2:18" ht="18">
      <c r="B17" s="179"/>
      <c r="C17" s="186"/>
      <c r="D17" s="186"/>
      <c r="E17" s="187"/>
      <c r="F17" s="187"/>
      <c r="G17" s="188"/>
      <c r="H17" s="189"/>
      <c r="I17" s="190"/>
      <c r="J17" s="190"/>
      <c r="K17" s="190"/>
      <c r="O17" s="181"/>
      <c r="P17" s="181"/>
      <c r="R17" s="181"/>
    </row>
    <row r="18" spans="2:18" ht="18" hidden="1">
      <c r="B18" s="179"/>
      <c r="C18" s="186"/>
      <c r="D18" s="191"/>
      <c r="E18" s="187"/>
      <c r="F18" s="187"/>
      <c r="G18" s="188"/>
      <c r="H18" s="190"/>
      <c r="I18" s="190"/>
      <c r="J18" s="190"/>
      <c r="K18" s="190"/>
      <c r="O18" s="181"/>
      <c r="P18" s="181"/>
      <c r="R18" s="181"/>
    </row>
    <row r="19" spans="2:18" ht="15">
      <c r="B19" s="179"/>
      <c r="C19" s="186"/>
      <c r="D19" s="191"/>
      <c r="E19" s="190"/>
      <c r="F19" s="192"/>
      <c r="G19" s="192"/>
      <c r="H19" s="190"/>
      <c r="I19" s="190"/>
      <c r="J19" s="190"/>
      <c r="K19" s="190"/>
      <c r="O19" s="181"/>
      <c r="P19" s="181"/>
      <c r="R19" s="181"/>
    </row>
    <row r="20" spans="2:18" ht="25.5" customHeight="1" outlineLevel="1">
      <c r="B20" s="179"/>
      <c r="C20" s="193" t="s">
        <v>130</v>
      </c>
      <c r="D20" s="194"/>
      <c r="E20" s="195">
        <f>'Основной лист заполнения данных'!D6</f>
        <v>8000000</v>
      </c>
      <c r="F20" s="192"/>
      <c r="G20" s="192"/>
      <c r="H20" s="190"/>
      <c r="I20" s="190"/>
      <c r="J20" s="190"/>
      <c r="K20" s="190"/>
      <c r="O20" s="181"/>
      <c r="P20" s="181"/>
      <c r="R20" s="181"/>
    </row>
    <row r="21" spans="2:18" ht="25.5" customHeight="1" outlineLevel="1">
      <c r="B21" s="179"/>
      <c r="C21" s="193" t="s">
        <v>131</v>
      </c>
      <c r="D21" s="194"/>
      <c r="E21" s="195">
        <f>'Основной лист заполнения данных'!D7</f>
        <v>15000</v>
      </c>
      <c r="F21" s="192"/>
      <c r="G21" s="192"/>
      <c r="H21" s="190"/>
      <c r="I21" s="190"/>
      <c r="J21" s="190"/>
      <c r="K21" s="190"/>
      <c r="O21" s="181"/>
      <c r="P21" s="181"/>
      <c r="R21" s="181"/>
    </row>
    <row r="22" spans="2:18" s="201" customFormat="1" ht="33" customHeight="1" outlineLevel="1">
      <c r="B22" s="543" t="s">
        <v>132</v>
      </c>
      <c r="C22" s="543"/>
      <c r="D22" s="197"/>
      <c r="E22" s="198">
        <f>'Основной лист заполнения данных'!D5</f>
        <v>0</v>
      </c>
      <c r="F22" s="199"/>
      <c r="G22" s="199"/>
      <c r="H22" s="200"/>
      <c r="I22" s="200"/>
      <c r="J22" s="200"/>
      <c r="K22" s="200"/>
      <c r="O22" s="181"/>
      <c r="P22" s="181"/>
      <c r="R22" s="181"/>
    </row>
    <row r="23" spans="2:18" s="201" customFormat="1" ht="39" customHeight="1" outlineLevel="1">
      <c r="B23" s="543" t="s">
        <v>164</v>
      </c>
      <c r="C23" s="543"/>
      <c r="D23" s="202"/>
      <c r="E23" s="203">
        <f>'Основной лист заполнения данных'!D14</f>
        <v>0.20100000000000001</v>
      </c>
      <c r="F23" s="204" t="s">
        <v>218</v>
      </c>
      <c r="G23" s="204"/>
      <c r="H23" s="205"/>
      <c r="I23" s="200"/>
      <c r="J23" s="200"/>
      <c r="K23" s="200"/>
      <c r="O23" s="181"/>
      <c r="P23" s="181"/>
      <c r="R23" s="181"/>
    </row>
    <row r="24" spans="2:18" s="201" customFormat="1" ht="39" customHeight="1" outlineLevel="1">
      <c r="B24" s="543" t="s">
        <v>160</v>
      </c>
      <c r="C24" s="543"/>
      <c r="D24" s="202"/>
      <c r="E24" s="203">
        <f>'Основной лист заполнения данных'!D13</f>
        <v>0</v>
      </c>
      <c r="F24" s="416">
        <f>E28*E24</f>
        <v>0</v>
      </c>
      <c r="G24" s="204"/>
      <c r="H24" s="205"/>
      <c r="I24" s="200"/>
      <c r="J24" s="200"/>
      <c r="K24" s="200"/>
      <c r="O24" s="181"/>
      <c r="P24" s="181"/>
      <c r="R24" s="181"/>
    </row>
    <row r="25" spans="2:18" s="201" customFormat="1" ht="25.5" customHeight="1" outlineLevel="1">
      <c r="B25" s="196"/>
      <c r="C25" s="196"/>
      <c r="D25" s="202"/>
      <c r="E25" s="203"/>
      <c r="F25" s="204"/>
      <c r="G25" s="204"/>
      <c r="H25" s="205"/>
      <c r="I25" s="200"/>
      <c r="J25" s="200"/>
      <c r="K25" s="200"/>
      <c r="O25" s="181"/>
      <c r="P25" s="181"/>
      <c r="R25" s="181"/>
    </row>
    <row r="26" spans="2:18" s="201" customFormat="1" ht="25.5" customHeight="1" outlineLevel="1">
      <c r="B26" s="196"/>
      <c r="C26" s="196" t="s">
        <v>15</v>
      </c>
      <c r="D26" s="202"/>
      <c r="E26" s="206">
        <f>'Основной лист заполнения данных'!D15</f>
        <v>360</v>
      </c>
      <c r="F26" s="204" t="s">
        <v>218</v>
      </c>
      <c r="G26" s="204" t="str">
        <f t="shared" ref="G26" si="0">H17&amp;F26</f>
        <v>Вар2</v>
      </c>
      <c r="H26" s="205"/>
      <c r="I26" s="200"/>
      <c r="J26" s="200"/>
      <c r="K26" s="200"/>
      <c r="O26" s="181"/>
      <c r="P26" s="181"/>
      <c r="R26" s="181"/>
    </row>
    <row r="27" spans="2:18" ht="42" customHeight="1" thickBot="1">
      <c r="B27" s="179"/>
      <c r="C27" s="186"/>
      <c r="D27" s="191"/>
      <c r="E27" s="207" t="s">
        <v>219</v>
      </c>
      <c r="F27" s="207" t="s">
        <v>219</v>
      </c>
      <c r="G27" s="207" t="s">
        <v>219</v>
      </c>
      <c r="H27" s="207" t="s">
        <v>219</v>
      </c>
      <c r="I27" s="207" t="s">
        <v>219</v>
      </c>
      <c r="J27" s="207" t="s">
        <v>219</v>
      </c>
      <c r="K27" s="207" t="s">
        <v>219</v>
      </c>
      <c r="R27" s="181"/>
    </row>
    <row r="28" spans="2:18" ht="27.75" customHeight="1">
      <c r="B28" s="208"/>
      <c r="C28" s="193" t="s">
        <v>134</v>
      </c>
      <c r="D28" s="209"/>
      <c r="E28" s="193">
        <f>'Основной лист заполнения данных'!D38</f>
        <v>10880442</v>
      </c>
      <c r="F28" s="193" t="str">
        <f>IF(F31=0%,"",IF(F31="","",$E$20*(100%-$E$22)*(100%+#REF!)-$E$21))</f>
        <v/>
      </c>
      <c r="G28" s="193" t="str">
        <f>IF(G31=0%,"",IF(G31="","",$E$20*(100%-$E$22)*(100%+#REF!)-$E$21))</f>
        <v/>
      </c>
      <c r="H28" s="193" t="str">
        <f>IF(H31=0%,"",IF(H31="","",$E$20*(100%-$E$22)*(100%+#REF!)-$E$21))</f>
        <v/>
      </c>
      <c r="I28" s="193" t="str">
        <f>IF(I31=0%,"",IF(I31="","",$E$20*(100%-$E$22)*(100%+#REF!)-$E$21))</f>
        <v/>
      </c>
      <c r="J28" s="193" t="str">
        <f>IF(J31=0%,"",IF(J31="","",$E$20*(100%-$E$22)*(100%+#REF!)-$E$21))</f>
        <v/>
      </c>
      <c r="K28" s="193" t="str">
        <f>IF(K31=0%,"",IF(K31="","",$E$20*(100%-$E$22)*(100%+#REF!)-$E$21))</f>
        <v/>
      </c>
      <c r="R28" s="181"/>
    </row>
    <row r="29" spans="2:18" ht="27.75" customHeight="1">
      <c r="B29" s="208"/>
      <c r="C29" s="193" t="str">
        <f>"Первоначальный взнос "&amp;E23*100+E24*100&amp;"%"</f>
        <v>Первоначальный взнос 20,1%</v>
      </c>
      <c r="D29" s="209"/>
      <c r="E29" s="193">
        <f>'Основной лист заполнения данных'!D40+'Основной лист заполнения данных'!D41</f>
        <v>2186969</v>
      </c>
      <c r="F29" s="193" t="s">
        <v>219</v>
      </c>
      <c r="G29" s="193" t="s">
        <v>219</v>
      </c>
      <c r="H29" s="193" t="s">
        <v>219</v>
      </c>
      <c r="I29" s="193" t="s">
        <v>219</v>
      </c>
      <c r="J29" s="193" t="s">
        <v>219</v>
      </c>
      <c r="K29" s="193" t="s">
        <v>219</v>
      </c>
      <c r="R29" s="181"/>
    </row>
    <row r="30" spans="2:18" s="201" customFormat="1" ht="41.25" customHeight="1">
      <c r="B30" s="210"/>
      <c r="C30" s="211" t="s">
        <v>135</v>
      </c>
      <c r="D30" s="212"/>
      <c r="E30" s="211">
        <f>'Основной лист заполнения данных'!D39</f>
        <v>8693473</v>
      </c>
      <c r="F30" s="211" t="s">
        <v>219</v>
      </c>
      <c r="G30" s="211" t="s">
        <v>219</v>
      </c>
      <c r="H30" s="211" t="s">
        <v>219</v>
      </c>
      <c r="I30" s="211" t="s">
        <v>219</v>
      </c>
      <c r="J30" s="211" t="s">
        <v>219</v>
      </c>
      <c r="K30" s="211" t="s">
        <v>219</v>
      </c>
      <c r="R30" s="213"/>
    </row>
    <row r="31" spans="2:18" ht="27.75" customHeight="1">
      <c r="B31" s="544" t="s">
        <v>136</v>
      </c>
      <c r="C31" s="544"/>
      <c r="D31" s="209"/>
      <c r="E31" s="198">
        <f>'Основной лист заполнения данных'!D16</f>
        <v>5.9900000000000002E-2</v>
      </c>
      <c r="F31" s="198" t="s">
        <v>219</v>
      </c>
      <c r="G31" s="198" t="s">
        <v>219</v>
      </c>
      <c r="H31" s="198" t="s">
        <v>219</v>
      </c>
      <c r="I31" s="198" t="s">
        <v>219</v>
      </c>
      <c r="J31" s="198" t="s">
        <v>219</v>
      </c>
      <c r="K31" s="198" t="s">
        <v>219</v>
      </c>
    </row>
    <row r="32" spans="2:18" ht="27.75" hidden="1" customHeight="1">
      <c r="B32" s="215"/>
      <c r="C32" s="215" t="s">
        <v>220</v>
      </c>
      <c r="D32" s="216"/>
      <c r="E32" s="217" t="s">
        <v>219</v>
      </c>
      <c r="F32" s="217" t="s">
        <v>219</v>
      </c>
      <c r="G32" s="217" t="s">
        <v>219</v>
      </c>
      <c r="H32" s="217" t="s">
        <v>219</v>
      </c>
      <c r="I32" s="217" t="s">
        <v>219</v>
      </c>
      <c r="J32" s="217" t="s">
        <v>219</v>
      </c>
      <c r="K32" s="217" t="s">
        <v>219</v>
      </c>
    </row>
    <row r="33" spans="2:11" ht="27.75" hidden="1" customHeight="1">
      <c r="B33" s="215"/>
      <c r="C33" s="215" t="s">
        <v>221</v>
      </c>
      <c r="D33" s="216"/>
      <c r="E33" s="217" t="s">
        <v>219</v>
      </c>
      <c r="F33" s="217" t="s">
        <v>219</v>
      </c>
      <c r="G33" s="217" t="s">
        <v>219</v>
      </c>
      <c r="H33" s="217" t="s">
        <v>219</v>
      </c>
      <c r="I33" s="217" t="s">
        <v>219</v>
      </c>
      <c r="J33" s="217" t="s">
        <v>219</v>
      </c>
      <c r="K33" s="217" t="s">
        <v>219</v>
      </c>
    </row>
    <row r="34" spans="2:11" ht="27.75" hidden="1" customHeight="1">
      <c r="B34" s="215"/>
      <c r="C34" s="215" t="s">
        <v>222</v>
      </c>
      <c r="D34" s="216"/>
      <c r="E34" s="217" t="s">
        <v>219</v>
      </c>
      <c r="F34" s="217" t="s">
        <v>219</v>
      </c>
      <c r="G34" s="217" t="s">
        <v>219</v>
      </c>
      <c r="H34" s="217" t="s">
        <v>219</v>
      </c>
      <c r="I34" s="217" t="s">
        <v>219</v>
      </c>
      <c r="J34" s="217" t="s">
        <v>219</v>
      </c>
      <c r="K34" s="217" t="s">
        <v>219</v>
      </c>
    </row>
    <row r="35" spans="2:11" ht="27.75" hidden="1" customHeight="1">
      <c r="B35" s="215"/>
      <c r="C35" s="215" t="s">
        <v>223</v>
      </c>
      <c r="D35" s="216"/>
      <c r="E35" s="217" t="s">
        <v>219</v>
      </c>
      <c r="F35" s="217" t="s">
        <v>219</v>
      </c>
      <c r="G35" s="217" t="s">
        <v>219</v>
      </c>
      <c r="H35" s="217" t="s">
        <v>219</v>
      </c>
      <c r="I35" s="217" t="s">
        <v>219</v>
      </c>
      <c r="J35" s="217" t="s">
        <v>219</v>
      </c>
      <c r="K35" s="217" t="s">
        <v>219</v>
      </c>
    </row>
    <row r="36" spans="2:11" ht="27.75" hidden="1" customHeight="1">
      <c r="B36" s="215"/>
      <c r="C36" s="215" t="s">
        <v>224</v>
      </c>
      <c r="D36" s="216"/>
      <c r="E36" s="217" t="s">
        <v>219</v>
      </c>
      <c r="F36" s="217" t="s">
        <v>219</v>
      </c>
      <c r="G36" s="217" t="s">
        <v>219</v>
      </c>
      <c r="H36" s="217" t="s">
        <v>219</v>
      </c>
      <c r="I36" s="217" t="s">
        <v>219</v>
      </c>
      <c r="J36" s="217" t="s">
        <v>219</v>
      </c>
      <c r="K36" s="217" t="s">
        <v>219</v>
      </c>
    </row>
    <row r="37" spans="2:11" ht="27.75" hidden="1" customHeight="1">
      <c r="B37" s="215"/>
      <c r="C37" s="215" t="s">
        <v>225</v>
      </c>
      <c r="D37" s="216"/>
      <c r="E37" s="217" t="s">
        <v>219</v>
      </c>
      <c r="F37" s="217" t="s">
        <v>219</v>
      </c>
      <c r="G37" s="217" t="s">
        <v>219</v>
      </c>
      <c r="H37" s="217" t="s">
        <v>219</v>
      </c>
      <c r="I37" s="217" t="s">
        <v>219</v>
      </c>
      <c r="J37" s="217" t="s">
        <v>219</v>
      </c>
      <c r="K37" s="217" t="s">
        <v>219</v>
      </c>
    </row>
    <row r="38" spans="2:11" ht="27.75" customHeight="1">
      <c r="B38" s="208"/>
      <c r="C38" s="193" t="s">
        <v>137</v>
      </c>
      <c r="D38" s="209"/>
      <c r="E38" s="218" t="str">
        <f>($E$26&amp;" / "&amp;$E$26/12)</f>
        <v>360 / 30</v>
      </c>
      <c r="F38" s="218" t="str">
        <f t="shared" ref="F38:K38" si="1">IF(F31=0%,"",IF(F27="","",IFERROR($E$26&amp;" / "&amp;$E$26/12,"")))</f>
        <v/>
      </c>
      <c r="G38" s="218" t="str">
        <f t="shared" si="1"/>
        <v/>
      </c>
      <c r="H38" s="218" t="str">
        <f t="shared" si="1"/>
        <v/>
      </c>
      <c r="I38" s="218" t="str">
        <f t="shared" si="1"/>
        <v/>
      </c>
      <c r="J38" s="218" t="str">
        <f t="shared" si="1"/>
        <v/>
      </c>
      <c r="K38" s="218" t="str">
        <f t="shared" si="1"/>
        <v/>
      </c>
    </row>
    <row r="39" spans="2:11" ht="27.75" customHeight="1">
      <c r="B39" s="208"/>
      <c r="C39" s="193" t="s">
        <v>138</v>
      </c>
      <c r="D39" s="209"/>
      <c r="E39" s="219">
        <f t="shared" ref="E39:K39" si="2">IFERROR(PMT(E31/12,$E$26,-E30),"")</f>
        <v>52065.884175501691</v>
      </c>
      <c r="F39" s="219" t="str">
        <f t="shared" si="2"/>
        <v/>
      </c>
      <c r="G39" s="219" t="str">
        <f t="shared" si="2"/>
        <v/>
      </c>
      <c r="H39" s="219" t="str">
        <f t="shared" si="2"/>
        <v/>
      </c>
      <c r="I39" s="219" t="str">
        <f t="shared" si="2"/>
        <v/>
      </c>
      <c r="J39" s="219" t="str">
        <f t="shared" si="2"/>
        <v/>
      </c>
      <c r="K39" s="219" t="str">
        <f t="shared" si="2"/>
        <v/>
      </c>
    </row>
    <row r="40" spans="2:11" ht="30" hidden="1" customHeight="1">
      <c r="B40" s="208"/>
      <c r="C40" s="193" t="s">
        <v>139</v>
      </c>
      <c r="D40" s="209"/>
      <c r="E40" s="193" t="s">
        <v>219</v>
      </c>
      <c r="F40" s="193" t="s">
        <v>219</v>
      </c>
      <c r="G40" s="193" t="s">
        <v>219</v>
      </c>
      <c r="H40" s="193" t="s">
        <v>219</v>
      </c>
      <c r="I40" s="193" t="s">
        <v>219</v>
      </c>
      <c r="J40" s="193" t="s">
        <v>219</v>
      </c>
      <c r="K40" s="193" t="s">
        <v>219</v>
      </c>
    </row>
    <row r="41" spans="2:11" ht="12" customHeight="1" thickBot="1">
      <c r="B41" s="208"/>
      <c r="C41" s="193"/>
      <c r="D41" s="209"/>
      <c r="E41" s="193"/>
      <c r="F41" s="193"/>
      <c r="G41" s="193"/>
      <c r="H41" s="193"/>
      <c r="I41" s="193"/>
      <c r="J41" s="193"/>
      <c r="K41" s="193"/>
    </row>
    <row r="42" spans="2:11" ht="28.5" customHeight="1">
      <c r="B42" s="208"/>
      <c r="C42" s="193" t="s">
        <v>140</v>
      </c>
      <c r="D42" s="220"/>
      <c r="E42" s="221">
        <f t="shared" ref="E42:K42" si="3">IFERROR(E39*$E$26-E30,"")</f>
        <v>10050245.303180609</v>
      </c>
      <c r="F42" s="221" t="str">
        <f t="shared" si="3"/>
        <v/>
      </c>
      <c r="G42" s="221" t="str">
        <f t="shared" si="3"/>
        <v/>
      </c>
      <c r="H42" s="221" t="str">
        <f t="shared" si="3"/>
        <v/>
      </c>
      <c r="I42" s="221" t="str">
        <f t="shared" si="3"/>
        <v/>
      </c>
      <c r="J42" s="221" t="str">
        <f t="shared" si="3"/>
        <v/>
      </c>
      <c r="K42" s="221" t="str">
        <f t="shared" si="3"/>
        <v/>
      </c>
    </row>
    <row r="43" spans="2:11" ht="18">
      <c r="B43" s="208"/>
      <c r="C43" s="193"/>
      <c r="D43" s="208"/>
      <c r="E43" s="222"/>
      <c r="F43" s="223"/>
      <c r="G43" s="223"/>
      <c r="H43" s="223"/>
      <c r="I43" s="223"/>
      <c r="J43" s="223"/>
      <c r="K43" s="223"/>
    </row>
    <row r="44" spans="2:11">
      <c r="B44" s="179"/>
      <c r="C44" s="180"/>
      <c r="D44" s="180"/>
      <c r="E44" s="179"/>
      <c r="F44" s="179"/>
      <c r="G44" s="179"/>
      <c r="H44" s="179"/>
      <c r="I44" s="179"/>
      <c r="J44" s="179"/>
      <c r="K44" s="179"/>
    </row>
    <row r="45" spans="2:11" ht="15.75" customHeight="1">
      <c r="B45" s="179"/>
      <c r="C45" s="536" t="s">
        <v>141</v>
      </c>
      <c r="D45" s="536"/>
      <c r="E45" s="536"/>
      <c r="F45" s="536"/>
      <c r="G45" s="536"/>
      <c r="H45" s="536"/>
      <c r="I45" s="536"/>
      <c r="J45" s="536"/>
      <c r="K45" s="179"/>
    </row>
    <row r="46" spans="2:11" ht="15">
      <c r="B46" s="179"/>
      <c r="C46" s="190"/>
      <c r="D46" s="190"/>
      <c r="E46" s="190"/>
      <c r="F46" s="179"/>
      <c r="G46" s="179"/>
      <c r="H46" s="179"/>
      <c r="I46" s="179"/>
      <c r="J46" s="179"/>
      <c r="K46" s="179"/>
    </row>
    <row r="47" spans="2:11" ht="15">
      <c r="B47" s="179"/>
      <c r="C47" s="190"/>
      <c r="D47" s="190"/>
      <c r="E47" s="190"/>
      <c r="F47" s="179"/>
      <c r="G47" s="179"/>
      <c r="H47" s="179"/>
      <c r="I47" s="179"/>
      <c r="J47" s="179"/>
      <c r="K47" s="179"/>
    </row>
    <row r="48" spans="2:11" ht="15" hidden="1" outlineLevel="1">
      <c r="B48" s="179"/>
      <c r="C48" s="190"/>
      <c r="D48" s="190"/>
      <c r="E48" s="190"/>
      <c r="F48" s="179"/>
      <c r="G48" s="179"/>
      <c r="H48" s="179"/>
      <c r="I48" s="179"/>
      <c r="J48" s="179"/>
      <c r="K48" s="179"/>
    </row>
    <row r="49" spans="2:11" ht="15" hidden="1" outlineLevel="1">
      <c r="B49" s="537" t="s">
        <v>142</v>
      </c>
      <c r="C49" s="537"/>
      <c r="D49" s="537"/>
      <c r="E49" s="537"/>
      <c r="F49" s="537"/>
      <c r="G49" s="537"/>
      <c r="H49" s="537"/>
      <c r="I49" s="537"/>
      <c r="J49" s="179"/>
      <c r="K49" s="179"/>
    </row>
    <row r="50" spans="2:11" ht="15" hidden="1" outlineLevel="1">
      <c r="B50" s="179"/>
      <c r="C50" s="190"/>
      <c r="D50" s="190"/>
      <c r="E50" s="190"/>
      <c r="F50" s="179"/>
      <c r="G50" s="179"/>
      <c r="H50" s="179"/>
      <c r="I50" s="179"/>
      <c r="J50" s="179"/>
      <c r="K50" s="179"/>
    </row>
    <row r="51" spans="2:11" ht="39.75" hidden="1" customHeight="1" outlineLevel="1" thickBot="1">
      <c r="B51" s="538" t="s">
        <v>143</v>
      </c>
      <c r="C51" s="538"/>
      <c r="D51" s="190"/>
      <c r="E51" s="224">
        <f t="shared" ref="E51:K51" si="4">IFERROR(E30*0.5%,"")</f>
        <v>43467.364999999998</v>
      </c>
      <c r="F51" s="224" t="str">
        <f t="shared" si="4"/>
        <v/>
      </c>
      <c r="G51" s="193" t="str">
        <f t="shared" si="4"/>
        <v/>
      </c>
      <c r="H51" s="193" t="str">
        <f t="shared" si="4"/>
        <v/>
      </c>
      <c r="I51" s="193" t="str">
        <f t="shared" si="4"/>
        <v/>
      </c>
      <c r="J51" s="193" t="str">
        <f t="shared" si="4"/>
        <v/>
      </c>
      <c r="K51" s="193" t="str">
        <f t="shared" si="4"/>
        <v/>
      </c>
    </row>
    <row r="52" spans="2:11" ht="30" hidden="1" customHeight="1" outlineLevel="1">
      <c r="B52" s="538" t="s">
        <v>144</v>
      </c>
      <c r="C52" s="538"/>
      <c r="D52" s="190"/>
      <c r="E52" s="221">
        <f t="shared" ref="E52:K52" si="5">IFERROR(E30*0.7%,"")</f>
        <v>60854.310999999994</v>
      </c>
      <c r="F52" s="221" t="str">
        <f t="shared" si="5"/>
        <v/>
      </c>
      <c r="G52" s="221" t="str">
        <f t="shared" si="5"/>
        <v/>
      </c>
      <c r="H52" s="221" t="str">
        <f t="shared" si="5"/>
        <v/>
      </c>
      <c r="I52" s="221" t="str">
        <f t="shared" si="5"/>
        <v/>
      </c>
      <c r="J52" s="221" t="str">
        <f t="shared" si="5"/>
        <v/>
      </c>
      <c r="K52" s="221" t="str">
        <f t="shared" si="5"/>
        <v/>
      </c>
    </row>
    <row r="53" spans="2:11" collapsed="1">
      <c r="B53" s="179"/>
      <c r="C53" s="179"/>
      <c r="D53" s="179"/>
      <c r="E53" s="179"/>
      <c r="F53" s="179"/>
      <c r="G53" s="179"/>
      <c r="H53" s="179"/>
      <c r="I53" s="179"/>
      <c r="J53" s="179"/>
      <c r="K53" s="179"/>
    </row>
    <row r="54" spans="2:11">
      <c r="B54" s="179"/>
      <c r="C54" s="179"/>
      <c r="D54" s="179"/>
      <c r="E54" s="179"/>
      <c r="F54" s="179"/>
      <c r="G54" s="179"/>
      <c r="H54" s="179"/>
      <c r="I54" s="179"/>
      <c r="J54" s="179"/>
      <c r="K54" s="179"/>
    </row>
    <row r="55" spans="2:11" hidden="1"/>
    <row r="56" spans="2:11" ht="23.25" customHeight="1" outlineLevel="1">
      <c r="B56" s="182"/>
      <c r="C56" s="179"/>
      <c r="D56" s="179"/>
      <c r="E56" s="539" t="s">
        <v>145</v>
      </c>
      <c r="F56" s="539"/>
      <c r="G56" s="539"/>
      <c r="H56" s="225"/>
      <c r="I56" s="179"/>
      <c r="J56" s="182"/>
      <c r="K56" s="182"/>
    </row>
    <row r="57" spans="2:11" outlineLevel="1"/>
    <row r="58" spans="2:11" ht="17.100000000000001" customHeight="1" outlineLevel="1">
      <c r="B58" s="540" t="s">
        <v>381</v>
      </c>
      <c r="C58" s="540"/>
      <c r="D58" s="540"/>
      <c r="E58" s="540"/>
      <c r="F58" s="540"/>
      <c r="G58" s="540"/>
      <c r="H58" s="487"/>
      <c r="I58" s="487"/>
      <c r="J58" s="487"/>
    </row>
    <row r="59" spans="2:11" ht="15" customHeight="1" outlineLevel="1">
      <c r="B59" s="488" t="s">
        <v>382</v>
      </c>
      <c r="C59" s="488"/>
      <c r="D59" s="488"/>
      <c r="E59" s="488"/>
      <c r="F59" s="488"/>
      <c r="G59" s="488"/>
      <c r="H59" s="487"/>
      <c r="I59" s="487"/>
      <c r="J59" s="487"/>
    </row>
    <row r="60" spans="2:11" ht="17.100000000000001" customHeight="1" outlineLevel="1">
      <c r="B60" s="541" t="s">
        <v>383</v>
      </c>
      <c r="C60" s="541"/>
      <c r="D60" s="489"/>
      <c r="E60" s="489"/>
      <c r="F60" s="489"/>
      <c r="G60" s="489"/>
      <c r="H60" s="487"/>
      <c r="I60" s="487"/>
      <c r="J60" s="487"/>
    </row>
    <row r="61" spans="2:11" ht="15" customHeight="1" outlineLevel="1">
      <c r="B61" s="488"/>
      <c r="C61" s="488"/>
      <c r="D61" s="488"/>
      <c r="E61" s="488"/>
      <c r="F61" s="488"/>
      <c r="G61" s="488"/>
      <c r="H61" s="487"/>
      <c r="I61" s="487"/>
      <c r="J61" s="487"/>
    </row>
    <row r="62" spans="2:11" ht="17.100000000000001" customHeight="1" outlineLevel="1">
      <c r="B62" s="542" t="str">
        <f>IF('Основной лист заполнения данных'!D4="Кэшбэк 2.0 (потреб. кредит)","2. Комиссия БЖФ 2,7% –","2. Страхование жизни ____________")</f>
        <v>2. Комиссия БЖФ 2,7% –</v>
      </c>
      <c r="C62" s="542"/>
      <c r="D62" s="490">
        <f>IF('Основной лист заполнения данных'!D4="Кэшбэк 2.0 (потреб. кредит)",'Основной лист заполнения данных'!D41*2.7%,"")</f>
        <v>59048.163000000008</v>
      </c>
      <c r="E62" s="489"/>
      <c r="F62" s="489"/>
      <c r="G62" s="489"/>
      <c r="H62" s="487"/>
      <c r="I62" s="487"/>
      <c r="J62" s="487"/>
    </row>
    <row r="63" spans="2:11" ht="15" customHeight="1" outlineLevel="1">
      <c r="B63" s="488"/>
      <c r="C63" s="488"/>
      <c r="D63" s="488"/>
      <c r="E63" s="488"/>
      <c r="F63" s="488"/>
      <c r="G63" s="488"/>
      <c r="H63" s="487"/>
      <c r="I63" s="487"/>
      <c r="J63" s="487"/>
    </row>
    <row r="64" spans="2:11" ht="17.100000000000001" customHeight="1" outlineLevel="1">
      <c r="B64" s="541" t="str">
        <f>IF('Основной лист заполнения данных'!D4="Кэшбэк 2.0 (потреб. кредит)","3. Страхование жизни ____________","")</f>
        <v>3. Страхование жизни ____________</v>
      </c>
      <c r="C64" s="541"/>
      <c r="D64" s="541"/>
      <c r="E64" s="489"/>
      <c r="F64" s="489"/>
      <c r="G64" s="489"/>
      <c r="H64" s="487"/>
      <c r="I64" s="487"/>
      <c r="J64" s="487"/>
    </row>
    <row r="65" spans="2:10" ht="14.1" customHeight="1" outlineLevel="1">
      <c r="B65" s="487"/>
      <c r="C65" s="487"/>
      <c r="D65" s="487"/>
      <c r="E65" s="487"/>
      <c r="F65" s="487"/>
      <c r="G65" s="487"/>
      <c r="H65" s="487"/>
      <c r="I65" s="487"/>
      <c r="J65" s="487"/>
    </row>
    <row r="66" spans="2:10" ht="14.1" customHeight="1" outlineLevel="1">
      <c r="B66" s="487"/>
      <c r="C66" s="487"/>
      <c r="D66" s="487"/>
      <c r="E66" s="487"/>
      <c r="F66" s="487"/>
      <c r="G66" s="487"/>
      <c r="H66" s="487"/>
      <c r="I66" s="487"/>
      <c r="J66" s="487"/>
    </row>
    <row r="67" spans="2:10" ht="14.1" customHeight="1" outlineLevel="1">
      <c r="B67" s="487"/>
      <c r="C67" s="487"/>
      <c r="D67" s="487"/>
      <c r="E67" s="487"/>
      <c r="F67" s="487"/>
      <c r="G67" s="487"/>
      <c r="H67" s="487"/>
      <c r="I67" s="487"/>
      <c r="J67" s="487"/>
    </row>
    <row r="68" spans="2:10" ht="14.1" customHeight="1" outlineLevel="1">
      <c r="B68" s="487"/>
      <c r="C68" s="487"/>
      <c r="D68" s="487"/>
      <c r="E68" s="487"/>
      <c r="F68" s="487"/>
      <c r="G68" s="487"/>
      <c r="H68" s="487"/>
      <c r="I68" s="487"/>
      <c r="J68" s="487"/>
    </row>
    <row r="69" spans="2:10" ht="14.1" customHeight="1" outlineLevel="1">
      <c r="B69" s="487"/>
      <c r="C69" s="487"/>
      <c r="D69" s="487"/>
      <c r="E69" s="487"/>
      <c r="F69" s="487"/>
      <c r="G69" s="487"/>
      <c r="H69" s="487"/>
      <c r="I69" s="487"/>
      <c r="J69" s="487"/>
    </row>
    <row r="70" spans="2:10" ht="14.1" customHeight="1" outlineLevel="1">
      <c r="B70" s="487"/>
      <c r="C70" s="487"/>
      <c r="D70" s="487"/>
      <c r="E70" s="487"/>
      <c r="F70" s="487"/>
      <c r="G70" s="487"/>
      <c r="H70" s="487"/>
      <c r="I70" s="487"/>
      <c r="J70" s="487"/>
    </row>
    <row r="71" spans="2:10" ht="14.1" customHeight="1" outlineLevel="1">
      <c r="B71" s="487"/>
      <c r="C71" s="487"/>
      <c r="D71" s="487"/>
      <c r="E71" s="487"/>
      <c r="F71" s="487"/>
      <c r="G71" s="487"/>
      <c r="H71" s="487"/>
      <c r="I71" s="487"/>
      <c r="J71" s="487"/>
    </row>
    <row r="72" spans="2:10" ht="14.1" customHeight="1" outlineLevel="1">
      <c r="B72" s="487"/>
      <c r="C72" s="487"/>
      <c r="D72" s="487"/>
      <c r="E72" s="487"/>
      <c r="F72" s="487"/>
      <c r="G72" s="487"/>
      <c r="H72" s="487"/>
      <c r="I72" s="487"/>
      <c r="J72" s="487"/>
    </row>
    <row r="73" spans="2:10" ht="14.1" customHeight="1" outlineLevel="1">
      <c r="B73" s="487"/>
      <c r="C73" s="487"/>
      <c r="D73" s="487"/>
      <c r="E73" s="487"/>
      <c r="F73" s="487"/>
      <c r="G73" s="487"/>
      <c r="H73" s="487"/>
      <c r="I73" s="487"/>
      <c r="J73" s="487"/>
    </row>
    <row r="74" spans="2:10" ht="14.1" customHeight="1" outlineLevel="1">
      <c r="B74" s="487"/>
      <c r="C74" s="487"/>
      <c r="D74" s="487"/>
      <c r="E74" s="487"/>
      <c r="F74" s="487"/>
      <c r="G74" s="487"/>
      <c r="H74" s="487"/>
      <c r="I74" s="487"/>
      <c r="J74" s="487"/>
    </row>
    <row r="75" spans="2:10" ht="14.1" customHeight="1" outlineLevel="1">
      <c r="B75" s="487"/>
      <c r="C75" s="487"/>
      <c r="D75" s="487"/>
      <c r="E75" s="487"/>
      <c r="F75" s="487"/>
      <c r="G75" s="487"/>
      <c r="H75" s="487"/>
      <c r="I75" s="487"/>
      <c r="J75" s="487"/>
    </row>
    <row r="76" spans="2:10" ht="14.1" customHeight="1" outlineLevel="1">
      <c r="B76" s="487"/>
      <c r="C76" s="487"/>
      <c r="D76" s="487"/>
      <c r="E76" s="487"/>
      <c r="F76" s="487"/>
      <c r="G76" s="487"/>
      <c r="H76" s="487"/>
      <c r="I76" s="487"/>
      <c r="J76" s="487"/>
    </row>
    <row r="77" spans="2:10" ht="14.1" customHeight="1" outlineLevel="1">
      <c r="B77" s="487"/>
      <c r="C77" s="487"/>
      <c r="D77" s="487"/>
      <c r="E77" s="487"/>
      <c r="F77" s="487"/>
      <c r="G77" s="487"/>
      <c r="H77" s="487"/>
      <c r="I77" s="487"/>
      <c r="J77" s="487"/>
    </row>
    <row r="82" spans="2:11" ht="15">
      <c r="B82" s="534" t="s">
        <v>141</v>
      </c>
      <c r="C82" s="534"/>
      <c r="D82" s="534"/>
      <c r="E82" s="534"/>
      <c r="F82" s="534"/>
      <c r="G82" s="534"/>
      <c r="H82" s="534"/>
      <c r="I82" s="534"/>
      <c r="J82" s="534"/>
      <c r="K82" s="226"/>
    </row>
    <row r="83" spans="2:11" ht="15">
      <c r="B83" s="193"/>
      <c r="C83" s="193"/>
      <c r="D83" s="193"/>
      <c r="E83" s="193"/>
      <c r="F83" s="193"/>
      <c r="G83" s="193"/>
      <c r="H83" s="193"/>
      <c r="I83" s="193"/>
      <c r="J83" s="226"/>
      <c r="K83" s="226"/>
    </row>
    <row r="84" spans="2:11" ht="15">
      <c r="B84" s="193"/>
      <c r="C84" s="193"/>
      <c r="D84" s="193"/>
      <c r="E84" s="193"/>
      <c r="F84" s="193"/>
      <c r="G84" s="193"/>
      <c r="H84" s="193"/>
      <c r="I84" s="193"/>
      <c r="J84" s="226"/>
      <c r="K84" s="226"/>
    </row>
    <row r="85" spans="2:11" ht="15">
      <c r="B85" s="228"/>
      <c r="C85" s="229"/>
      <c r="D85" s="229"/>
      <c r="E85" s="229"/>
      <c r="F85" s="229"/>
      <c r="G85" s="229"/>
      <c r="H85" s="229"/>
      <c r="I85" s="229"/>
      <c r="J85" s="230"/>
      <c r="K85" s="230"/>
    </row>
    <row r="86" spans="2:11" ht="22.5">
      <c r="B86" s="228"/>
      <c r="C86" s="184"/>
      <c r="D86" s="184"/>
      <c r="E86" s="535" t="s">
        <v>146</v>
      </c>
      <c r="F86" s="535"/>
      <c r="G86" s="535"/>
      <c r="H86" s="214">
        <f>E31</f>
        <v>5.9900000000000002E-2</v>
      </c>
      <c r="I86" s="227"/>
      <c r="J86" s="230"/>
      <c r="K86" s="231"/>
    </row>
    <row r="87" spans="2:11" ht="15">
      <c r="B87" s="228"/>
      <c r="C87" s="184"/>
      <c r="D87" s="184"/>
      <c r="E87" s="184"/>
      <c r="F87" s="184"/>
      <c r="G87" s="183"/>
      <c r="H87" s="183"/>
      <c r="I87" s="227"/>
      <c r="J87" s="230"/>
      <c r="K87" s="231"/>
    </row>
    <row r="88" spans="2:11" ht="43.5" customHeight="1" thickBot="1">
      <c r="B88" s="228"/>
      <c r="C88" s="232"/>
      <c r="D88" s="233" t="s">
        <v>147</v>
      </c>
      <c r="E88" s="233" t="s">
        <v>148</v>
      </c>
      <c r="F88" s="233" t="s">
        <v>149</v>
      </c>
      <c r="G88" s="233" t="s">
        <v>150</v>
      </c>
      <c r="H88" s="233" t="s">
        <v>151</v>
      </c>
      <c r="I88" s="233" t="s">
        <v>152</v>
      </c>
      <c r="J88" s="230"/>
      <c r="K88" s="231"/>
    </row>
    <row r="89" spans="2:11" ht="18">
      <c r="B89" s="228"/>
      <c r="C89" s="232"/>
      <c r="D89" s="234">
        <v>1</v>
      </c>
      <c r="E89" s="235">
        <v>45204</v>
      </c>
      <c r="F89" s="236">
        <f>IFERROR(((I89))*($H$86/12)/(1-(1+($H$86/12))^-($E$26-0)),"")</f>
        <v>52065.884175501604</v>
      </c>
      <c r="G89" s="236">
        <f>IFERROR((IF(I89&gt;0,(I89*($H$86/12)),"")),"")</f>
        <v>43394.91939166667</v>
      </c>
      <c r="H89" s="237">
        <f>IFERROR((F89-G89),"")</f>
        <v>8670.9647838349338</v>
      </c>
      <c r="I89" s="238">
        <f>IF((E$30)="Х","",(E$30))</f>
        <v>8693473</v>
      </c>
      <c r="J89" s="230"/>
      <c r="K89" s="231"/>
    </row>
    <row r="90" spans="2:11" ht="18">
      <c r="B90" s="228"/>
      <c r="C90" s="232"/>
      <c r="D90" s="239">
        <v>2</v>
      </c>
      <c r="E90" s="240">
        <f>DATE(YEAR($E89),MONTH($E89)+1,DAY($E89))</f>
        <v>45235</v>
      </c>
      <c r="F90" s="241">
        <f>IFERROR(((I90))*($H$86/12)/(1-(1+($H$86/12))^-($E$26-D89)),"")</f>
        <v>52065.884175501596</v>
      </c>
      <c r="G90" s="241">
        <f>IFERROR((IF(I90&gt;0,(I90*($H$86/12)),"")),"")</f>
        <v>43351.636825787362</v>
      </c>
      <c r="H90" s="241">
        <f>IFERROR((F90-G90),"")</f>
        <v>8714.2473497142346</v>
      </c>
      <c r="I90" s="242">
        <f>IFERROR((IF(D90&gt;$E$26,0,I89-H89)),"")</f>
        <v>8684802.0352161657</v>
      </c>
      <c r="J90" s="230"/>
      <c r="K90" s="231"/>
    </row>
    <row r="91" spans="2:11" ht="18">
      <c r="B91" s="228"/>
      <c r="C91" s="232"/>
      <c r="D91" s="239">
        <v>3</v>
      </c>
      <c r="E91" s="240">
        <f t="shared" ref="E91:E154" si="6">DATE(YEAR($E90),MONTH($E90)+1,DAY($E90))</f>
        <v>45265</v>
      </c>
      <c r="F91" s="241">
        <f t="shared" ref="F91:F154" si="7">IFERROR(((I91))*($H$86/12)/(1-(1+($H$86/12))^-($E$26-D90)),"")</f>
        <v>52065.884175501596</v>
      </c>
      <c r="G91" s="241">
        <f t="shared" ref="G91:G154" si="8">IFERROR((IF(I91&gt;0,(I91*($H$86/12)),"")),"")</f>
        <v>43308.1382077667</v>
      </c>
      <c r="H91" s="241">
        <f t="shared" ref="H91:H154" si="9">IFERROR((F91-G91),"")</f>
        <v>8757.7459677348961</v>
      </c>
      <c r="I91" s="242">
        <f t="shared" ref="I91:I154" si="10">IFERROR((IF(D91&gt;$E$26,0,I90-H90)),"")</f>
        <v>8676087.7878664508</v>
      </c>
      <c r="J91" s="230"/>
      <c r="K91" s="231"/>
    </row>
    <row r="92" spans="2:11" ht="18">
      <c r="B92" s="228"/>
      <c r="C92" s="232"/>
      <c r="D92" s="239">
        <v>4</v>
      </c>
      <c r="E92" s="240">
        <f t="shared" si="6"/>
        <v>45296</v>
      </c>
      <c r="F92" s="241">
        <f t="shared" si="7"/>
        <v>52065.884175501604</v>
      </c>
      <c r="G92" s="241">
        <f t="shared" si="8"/>
        <v>43264.422459144429</v>
      </c>
      <c r="H92" s="241">
        <f t="shared" si="9"/>
        <v>8801.4617163571747</v>
      </c>
      <c r="I92" s="242">
        <f t="shared" si="10"/>
        <v>8667330.0418987162</v>
      </c>
      <c r="J92" s="230"/>
      <c r="K92" s="231"/>
    </row>
    <row r="93" spans="2:11" ht="18">
      <c r="B93" s="228"/>
      <c r="C93" s="232"/>
      <c r="D93" s="239">
        <v>5</v>
      </c>
      <c r="E93" s="240">
        <f t="shared" si="6"/>
        <v>45327</v>
      </c>
      <c r="F93" s="241">
        <f t="shared" si="7"/>
        <v>52065.884175501596</v>
      </c>
      <c r="G93" s="241">
        <f t="shared" si="8"/>
        <v>43220.488496076941</v>
      </c>
      <c r="H93" s="241">
        <f t="shared" si="9"/>
        <v>8845.3956794246551</v>
      </c>
      <c r="I93" s="242">
        <f t="shared" si="10"/>
        <v>8658528.5801823586</v>
      </c>
      <c r="J93" s="230"/>
      <c r="K93" s="231"/>
    </row>
    <row r="94" spans="2:11" ht="18">
      <c r="B94" s="228"/>
      <c r="C94" s="232"/>
      <c r="D94" s="239">
        <v>6</v>
      </c>
      <c r="E94" s="240">
        <f t="shared" si="6"/>
        <v>45356</v>
      </c>
      <c r="F94" s="241">
        <f t="shared" si="7"/>
        <v>52065.884175501589</v>
      </c>
      <c r="G94" s="241">
        <f t="shared" si="8"/>
        <v>43176.335229310476</v>
      </c>
      <c r="H94" s="241">
        <f t="shared" si="9"/>
        <v>8889.5489461911129</v>
      </c>
      <c r="I94" s="242">
        <f t="shared" si="10"/>
        <v>8649683.1845029332</v>
      </c>
      <c r="J94" s="230"/>
      <c r="K94" s="231"/>
    </row>
    <row r="95" spans="2:11" ht="18">
      <c r="B95" s="228"/>
      <c r="C95" s="232"/>
      <c r="D95" s="239">
        <v>7</v>
      </c>
      <c r="E95" s="240">
        <f t="shared" si="6"/>
        <v>45387</v>
      </c>
      <c r="F95" s="241">
        <f t="shared" si="7"/>
        <v>52065.884175501596</v>
      </c>
      <c r="G95" s="241">
        <f t="shared" si="8"/>
        <v>43131.961564154073</v>
      </c>
      <c r="H95" s="241">
        <f t="shared" si="9"/>
        <v>8933.9226113475233</v>
      </c>
      <c r="I95" s="242">
        <f t="shared" si="10"/>
        <v>8640793.6355567425</v>
      </c>
      <c r="J95" s="230"/>
      <c r="K95" s="231"/>
    </row>
    <row r="96" spans="2:11" ht="18">
      <c r="B96" s="228"/>
      <c r="C96" s="232"/>
      <c r="D96" s="239">
        <v>8</v>
      </c>
      <c r="E96" s="240">
        <f t="shared" si="6"/>
        <v>45417</v>
      </c>
      <c r="F96" s="241">
        <f t="shared" si="7"/>
        <v>52065.884175501589</v>
      </c>
      <c r="G96" s="241">
        <f t="shared" si="8"/>
        <v>43087.366400452425</v>
      </c>
      <c r="H96" s="241">
        <f t="shared" si="9"/>
        <v>8978.5177750491639</v>
      </c>
      <c r="I96" s="242">
        <f t="shared" si="10"/>
        <v>8631859.7129453942</v>
      </c>
      <c r="J96" s="230"/>
      <c r="K96" s="231"/>
    </row>
    <row r="97" spans="2:11" ht="18">
      <c r="B97" s="228"/>
      <c r="C97" s="232"/>
      <c r="D97" s="239">
        <v>9</v>
      </c>
      <c r="E97" s="240">
        <f t="shared" si="6"/>
        <v>45448</v>
      </c>
      <c r="F97" s="241">
        <f t="shared" si="7"/>
        <v>52065.884175501589</v>
      </c>
      <c r="G97" s="241">
        <f t="shared" si="8"/>
        <v>43042.548632558639</v>
      </c>
      <c r="H97" s="241">
        <f t="shared" si="9"/>
        <v>9023.3355429429503</v>
      </c>
      <c r="I97" s="242">
        <f t="shared" si="10"/>
        <v>8622881.1951703448</v>
      </c>
      <c r="J97" s="230"/>
      <c r="K97" s="231"/>
    </row>
    <row r="98" spans="2:11" ht="18">
      <c r="B98" s="228"/>
      <c r="C98" s="232"/>
      <c r="D98" s="239">
        <v>10</v>
      </c>
      <c r="E98" s="240">
        <f t="shared" si="6"/>
        <v>45478</v>
      </c>
      <c r="F98" s="241">
        <f t="shared" si="7"/>
        <v>52065.884175501589</v>
      </c>
      <c r="G98" s="241">
        <f t="shared" si="8"/>
        <v>42997.507149306781</v>
      </c>
      <c r="H98" s="241">
        <f t="shared" si="9"/>
        <v>9068.3770261948084</v>
      </c>
      <c r="I98" s="242">
        <f t="shared" si="10"/>
        <v>8613857.8596274015</v>
      </c>
      <c r="J98" s="230"/>
      <c r="K98" s="231"/>
    </row>
    <row r="99" spans="2:11" ht="18">
      <c r="B99" s="228"/>
      <c r="C99" s="232"/>
      <c r="D99" s="239">
        <v>11</v>
      </c>
      <c r="E99" s="240">
        <f t="shared" si="6"/>
        <v>45509</v>
      </c>
      <c r="F99" s="241">
        <f t="shared" si="7"/>
        <v>52065.884175501589</v>
      </c>
      <c r="G99" s="241">
        <f t="shared" si="8"/>
        <v>42952.240833984361</v>
      </c>
      <c r="H99" s="241">
        <f t="shared" si="9"/>
        <v>9113.6433415172287</v>
      </c>
      <c r="I99" s="242">
        <f t="shared" si="10"/>
        <v>8604789.4826012067</v>
      </c>
      <c r="J99" s="230"/>
      <c r="K99" s="231"/>
    </row>
    <row r="100" spans="2:11" ht="18">
      <c r="B100" s="228"/>
      <c r="C100" s="232"/>
      <c r="D100" s="239">
        <v>12</v>
      </c>
      <c r="E100" s="240">
        <f t="shared" si="6"/>
        <v>45540</v>
      </c>
      <c r="F100" s="241">
        <f t="shared" si="7"/>
        <v>52065.884175501589</v>
      </c>
      <c r="G100" s="241">
        <f t="shared" si="8"/>
        <v>42906.748564304617</v>
      </c>
      <c r="H100" s="241">
        <f t="shared" si="9"/>
        <v>9159.1356111969726</v>
      </c>
      <c r="I100" s="242">
        <f t="shared" si="10"/>
        <v>8595675.8392596897</v>
      </c>
      <c r="J100" s="230"/>
      <c r="K100" s="231"/>
    </row>
    <row r="101" spans="2:11" ht="18">
      <c r="B101" s="228"/>
      <c r="C101" s="232"/>
      <c r="D101" s="239">
        <v>13</v>
      </c>
      <c r="E101" s="240">
        <f t="shared" si="6"/>
        <v>45570</v>
      </c>
      <c r="F101" s="241">
        <f t="shared" si="7"/>
        <v>52065.884175501589</v>
      </c>
      <c r="G101" s="241">
        <f t="shared" si="8"/>
        <v>42861.029212378729</v>
      </c>
      <c r="H101" s="241">
        <f t="shared" si="9"/>
        <v>9204.8549631228598</v>
      </c>
      <c r="I101" s="242">
        <f t="shared" si="10"/>
        <v>8586516.7036484927</v>
      </c>
      <c r="J101" s="230"/>
      <c r="K101" s="231"/>
    </row>
    <row r="102" spans="2:11" ht="18">
      <c r="B102" s="228"/>
      <c r="C102" s="232"/>
      <c r="D102" s="239">
        <v>14</v>
      </c>
      <c r="E102" s="240">
        <f t="shared" si="6"/>
        <v>45601</v>
      </c>
      <c r="F102" s="241">
        <f t="shared" si="7"/>
        <v>52065.884175501596</v>
      </c>
      <c r="G102" s="241">
        <f t="shared" si="8"/>
        <v>42815.081644687809</v>
      </c>
      <c r="H102" s="241">
        <f t="shared" si="9"/>
        <v>9250.8025308137876</v>
      </c>
      <c r="I102" s="242">
        <f t="shared" si="10"/>
        <v>8577311.8486853708</v>
      </c>
      <c r="J102" s="230"/>
      <c r="K102" s="231"/>
    </row>
    <row r="103" spans="2:11" ht="18">
      <c r="B103" s="228"/>
      <c r="C103" s="232"/>
      <c r="D103" s="239">
        <v>15</v>
      </c>
      <c r="E103" s="240">
        <f t="shared" si="6"/>
        <v>45631</v>
      </c>
      <c r="F103" s="241">
        <f t="shared" si="7"/>
        <v>52065.884175501596</v>
      </c>
      <c r="G103" s="241">
        <f t="shared" si="8"/>
        <v>42768.904722054831</v>
      </c>
      <c r="H103" s="241">
        <f t="shared" si="9"/>
        <v>9296.9794534467655</v>
      </c>
      <c r="I103" s="242">
        <f t="shared" si="10"/>
        <v>8568061.0461545568</v>
      </c>
      <c r="J103" s="230"/>
      <c r="K103" s="231"/>
    </row>
    <row r="104" spans="2:11" ht="18">
      <c r="B104" s="228"/>
      <c r="C104" s="232"/>
      <c r="D104" s="239">
        <v>16</v>
      </c>
      <c r="E104" s="240">
        <f t="shared" si="6"/>
        <v>45662</v>
      </c>
      <c r="F104" s="241">
        <f t="shared" si="7"/>
        <v>52065.884175501604</v>
      </c>
      <c r="G104" s="241">
        <f t="shared" si="8"/>
        <v>42722.497299616378</v>
      </c>
      <c r="H104" s="241">
        <f t="shared" si="9"/>
        <v>9343.3868758852259</v>
      </c>
      <c r="I104" s="242">
        <f t="shared" si="10"/>
        <v>8558764.0667011105</v>
      </c>
      <c r="J104" s="230"/>
      <c r="K104" s="231"/>
    </row>
    <row r="105" spans="2:11" ht="18">
      <c r="B105" s="228"/>
      <c r="C105" s="232"/>
      <c r="D105" s="239">
        <v>17</v>
      </c>
      <c r="E105" s="240">
        <f t="shared" si="6"/>
        <v>45693</v>
      </c>
      <c r="F105" s="241">
        <f t="shared" si="7"/>
        <v>52065.884175501604</v>
      </c>
      <c r="G105" s="241">
        <f t="shared" si="8"/>
        <v>42675.858226794255</v>
      </c>
      <c r="H105" s="241">
        <f t="shared" si="9"/>
        <v>9390.025948707349</v>
      </c>
      <c r="I105" s="242">
        <f t="shared" si="10"/>
        <v>8549420.6798252258</v>
      </c>
      <c r="J105" s="230"/>
      <c r="K105" s="231"/>
    </row>
    <row r="106" spans="2:11" ht="18">
      <c r="B106" s="228"/>
      <c r="C106" s="232"/>
      <c r="D106" s="239">
        <v>18</v>
      </c>
      <c r="E106" s="240">
        <f t="shared" si="6"/>
        <v>45721</v>
      </c>
      <c r="F106" s="241">
        <f t="shared" si="7"/>
        <v>52065.884175501604</v>
      </c>
      <c r="G106" s="241">
        <f t="shared" si="8"/>
        <v>42628.98634726696</v>
      </c>
      <c r="H106" s="241">
        <f t="shared" si="9"/>
        <v>9436.8978282346434</v>
      </c>
      <c r="I106" s="242">
        <f t="shared" si="10"/>
        <v>8540030.6538765188</v>
      </c>
      <c r="J106" s="230"/>
      <c r="K106" s="231"/>
    </row>
    <row r="107" spans="2:11" ht="18">
      <c r="B107" s="228"/>
      <c r="C107" s="232"/>
      <c r="D107" s="239">
        <v>19</v>
      </c>
      <c r="E107" s="240">
        <f t="shared" si="6"/>
        <v>45752</v>
      </c>
      <c r="F107" s="241">
        <f t="shared" si="7"/>
        <v>52065.884175501611</v>
      </c>
      <c r="G107" s="241">
        <f t="shared" si="8"/>
        <v>42581.88049894102</v>
      </c>
      <c r="H107" s="241">
        <f t="shared" si="9"/>
        <v>9484.003676560591</v>
      </c>
      <c r="I107" s="242">
        <f t="shared" si="10"/>
        <v>8530593.7560482845</v>
      </c>
      <c r="J107" s="230"/>
      <c r="K107" s="231"/>
    </row>
    <row r="108" spans="2:11" ht="18">
      <c r="B108" s="228"/>
      <c r="C108" s="232"/>
      <c r="D108" s="239">
        <v>20</v>
      </c>
      <c r="E108" s="240">
        <f t="shared" si="6"/>
        <v>45782</v>
      </c>
      <c r="F108" s="241">
        <f t="shared" si="7"/>
        <v>52065.884175501618</v>
      </c>
      <c r="G108" s="241">
        <f t="shared" si="8"/>
        <v>42534.539513922195</v>
      </c>
      <c r="H108" s="241">
        <f t="shared" si="9"/>
        <v>9531.3446615794237</v>
      </c>
      <c r="I108" s="242">
        <f t="shared" si="10"/>
        <v>8521109.7523717247</v>
      </c>
      <c r="J108" s="230"/>
      <c r="K108" s="231"/>
    </row>
    <row r="109" spans="2:11" ht="18">
      <c r="B109" s="228"/>
      <c r="C109" s="232"/>
      <c r="D109" s="239">
        <v>21</v>
      </c>
      <c r="E109" s="240">
        <f t="shared" si="6"/>
        <v>45813</v>
      </c>
      <c r="F109" s="241">
        <f t="shared" si="7"/>
        <v>52065.884175501611</v>
      </c>
      <c r="G109" s="241">
        <f t="shared" si="8"/>
        <v>42486.962218486478</v>
      </c>
      <c r="H109" s="241">
        <f t="shared" si="9"/>
        <v>9578.9219570151326</v>
      </c>
      <c r="I109" s="242">
        <f t="shared" si="10"/>
        <v>8511578.4077101462</v>
      </c>
      <c r="J109" s="230"/>
      <c r="K109" s="231"/>
    </row>
    <row r="110" spans="2:11" ht="18">
      <c r="B110" s="228"/>
      <c r="C110" s="232"/>
      <c r="D110" s="239">
        <v>22</v>
      </c>
      <c r="E110" s="240">
        <f t="shared" si="6"/>
        <v>45843</v>
      </c>
      <c r="F110" s="241">
        <f t="shared" si="7"/>
        <v>52065.884175501604</v>
      </c>
      <c r="G110" s="241">
        <f t="shared" si="8"/>
        <v>42439.147433051039</v>
      </c>
      <c r="H110" s="241">
        <f t="shared" si="9"/>
        <v>9626.7367424505646</v>
      </c>
      <c r="I110" s="242">
        <f t="shared" si="10"/>
        <v>8501999.4857531302</v>
      </c>
      <c r="J110" s="230"/>
      <c r="K110" s="231"/>
    </row>
    <row r="111" spans="2:11" ht="18">
      <c r="B111" s="228"/>
      <c r="C111" s="232"/>
      <c r="D111" s="239">
        <v>23</v>
      </c>
      <c r="E111" s="240">
        <f t="shared" si="6"/>
        <v>45874</v>
      </c>
      <c r="F111" s="241">
        <f t="shared" si="7"/>
        <v>52065.884175501618</v>
      </c>
      <c r="G111" s="241">
        <f t="shared" si="8"/>
        <v>42391.093972144983</v>
      </c>
      <c r="H111" s="241">
        <f t="shared" si="9"/>
        <v>9674.7902033566352</v>
      </c>
      <c r="I111" s="242">
        <f t="shared" si="10"/>
        <v>8492372.7490106802</v>
      </c>
      <c r="J111" s="230"/>
      <c r="K111" s="231"/>
    </row>
    <row r="112" spans="2:11" ht="18">
      <c r="B112" s="228"/>
      <c r="C112" s="232"/>
      <c r="D112" s="239">
        <v>24</v>
      </c>
      <c r="E112" s="240">
        <f t="shared" si="6"/>
        <v>45905</v>
      </c>
      <c r="F112" s="241">
        <f t="shared" si="7"/>
        <v>52065.884175501611</v>
      </c>
      <c r="G112" s="241">
        <f t="shared" si="8"/>
        <v>42342.800644379888</v>
      </c>
      <c r="H112" s="241">
        <f t="shared" si="9"/>
        <v>9723.0835311217234</v>
      </c>
      <c r="I112" s="242">
        <f t="shared" si="10"/>
        <v>8482697.9588073231</v>
      </c>
      <c r="J112" s="230"/>
      <c r="K112" s="231"/>
    </row>
    <row r="113" spans="2:11" ht="18">
      <c r="B113" s="228"/>
      <c r="C113" s="232"/>
      <c r="D113" s="239">
        <v>25</v>
      </c>
      <c r="E113" s="240">
        <f t="shared" si="6"/>
        <v>45935</v>
      </c>
      <c r="F113" s="241">
        <f t="shared" si="7"/>
        <v>52065.884175501611</v>
      </c>
      <c r="G113" s="241">
        <f t="shared" si="8"/>
        <v>42294.26625242037</v>
      </c>
      <c r="H113" s="241">
        <f t="shared" si="9"/>
        <v>9771.6179230812413</v>
      </c>
      <c r="I113" s="242">
        <f t="shared" si="10"/>
        <v>8472974.8752762005</v>
      </c>
      <c r="J113" s="230"/>
      <c r="K113" s="231"/>
    </row>
    <row r="114" spans="2:11" ht="18">
      <c r="B114" s="228"/>
      <c r="C114" s="232"/>
      <c r="D114" s="239">
        <v>26</v>
      </c>
      <c r="E114" s="240">
        <f t="shared" si="6"/>
        <v>45966</v>
      </c>
      <c r="F114" s="241">
        <f t="shared" si="7"/>
        <v>52065.884175501604</v>
      </c>
      <c r="G114" s="241">
        <f t="shared" si="8"/>
        <v>42245.48959295432</v>
      </c>
      <c r="H114" s="241">
        <f t="shared" si="9"/>
        <v>9820.3945825472838</v>
      </c>
      <c r="I114" s="242">
        <f t="shared" si="10"/>
        <v>8463203.2573531196</v>
      </c>
      <c r="J114" s="230"/>
      <c r="K114" s="231"/>
    </row>
    <row r="115" spans="2:11" ht="18">
      <c r="B115" s="228"/>
      <c r="C115" s="232"/>
      <c r="D115" s="239">
        <v>27</v>
      </c>
      <c r="E115" s="240">
        <f t="shared" si="6"/>
        <v>45996</v>
      </c>
      <c r="F115" s="241">
        <f t="shared" si="7"/>
        <v>52065.884175501611</v>
      </c>
      <c r="G115" s="241">
        <f t="shared" si="8"/>
        <v>42196.469456663108</v>
      </c>
      <c r="H115" s="241">
        <f t="shared" si="9"/>
        <v>9869.4147188385032</v>
      </c>
      <c r="I115" s="242">
        <f t="shared" si="10"/>
        <v>8453382.8627705723</v>
      </c>
      <c r="J115" s="230"/>
      <c r="K115" s="231"/>
    </row>
    <row r="116" spans="2:11" ht="18">
      <c r="B116" s="228"/>
      <c r="C116" s="232"/>
      <c r="D116" s="239">
        <v>28</v>
      </c>
      <c r="E116" s="240">
        <f t="shared" si="6"/>
        <v>46027</v>
      </c>
      <c r="F116" s="241">
        <f t="shared" si="7"/>
        <v>52065.884175501611</v>
      </c>
      <c r="G116" s="241">
        <f t="shared" si="8"/>
        <v>42147.204628191575</v>
      </c>
      <c r="H116" s="241">
        <f t="shared" si="9"/>
        <v>9918.6795473100356</v>
      </c>
      <c r="I116" s="242">
        <f t="shared" si="10"/>
        <v>8443513.4480517339</v>
      </c>
      <c r="J116" s="230"/>
      <c r="K116" s="231"/>
    </row>
    <row r="117" spans="2:11" ht="18">
      <c r="B117" s="228"/>
      <c r="C117" s="232"/>
      <c r="D117" s="239">
        <v>29</v>
      </c>
      <c r="E117" s="240">
        <f t="shared" si="6"/>
        <v>46058</v>
      </c>
      <c r="F117" s="241">
        <f t="shared" si="7"/>
        <v>52065.884175501611</v>
      </c>
      <c r="G117" s="241">
        <f t="shared" si="8"/>
        <v>42097.693886117915</v>
      </c>
      <c r="H117" s="241">
        <f t="shared" si="9"/>
        <v>9968.1902893836959</v>
      </c>
      <c r="I117" s="242">
        <f t="shared" si="10"/>
        <v>8433594.768504424</v>
      </c>
      <c r="J117" s="230"/>
      <c r="K117" s="231"/>
    </row>
    <row r="118" spans="2:11" ht="18">
      <c r="B118" s="228"/>
      <c r="C118" s="232"/>
      <c r="D118" s="239">
        <v>30</v>
      </c>
      <c r="E118" s="240">
        <f t="shared" si="6"/>
        <v>46086</v>
      </c>
      <c r="F118" s="241">
        <f t="shared" si="7"/>
        <v>52065.884175501611</v>
      </c>
      <c r="G118" s="241">
        <f t="shared" si="8"/>
        <v>42047.936002923409</v>
      </c>
      <c r="H118" s="241">
        <f t="shared" si="9"/>
        <v>10017.948172578203</v>
      </c>
      <c r="I118" s="242">
        <f t="shared" si="10"/>
        <v>8423626.5782150403</v>
      </c>
      <c r="J118" s="230"/>
      <c r="K118" s="231"/>
    </row>
    <row r="119" spans="2:11" ht="18">
      <c r="B119" s="228"/>
      <c r="C119" s="232"/>
      <c r="D119" s="239">
        <v>31</v>
      </c>
      <c r="E119" s="240">
        <f t="shared" si="6"/>
        <v>46117</v>
      </c>
      <c r="F119" s="241">
        <f t="shared" si="7"/>
        <v>52065.884175501611</v>
      </c>
      <c r="G119" s="241">
        <f t="shared" si="8"/>
        <v>41997.929744961955</v>
      </c>
      <c r="H119" s="241">
        <f t="shared" si="9"/>
        <v>10067.954430539656</v>
      </c>
      <c r="I119" s="242">
        <f t="shared" si="10"/>
        <v>8413608.6300424617</v>
      </c>
      <c r="J119" s="230"/>
      <c r="K119" s="231"/>
    </row>
    <row r="120" spans="2:11" ht="18">
      <c r="B120" s="228"/>
      <c r="C120" s="232"/>
      <c r="D120" s="239">
        <v>32</v>
      </c>
      <c r="E120" s="240">
        <f t="shared" si="6"/>
        <v>46147</v>
      </c>
      <c r="F120" s="241">
        <f t="shared" si="7"/>
        <v>52065.884175501618</v>
      </c>
      <c r="G120" s="241">
        <f t="shared" si="8"/>
        <v>41947.673872429514</v>
      </c>
      <c r="H120" s="241">
        <f t="shared" si="9"/>
        <v>10118.210303072105</v>
      </c>
      <c r="I120" s="242">
        <f t="shared" si="10"/>
        <v>8403540.6756119225</v>
      </c>
      <c r="J120" s="230"/>
      <c r="K120" s="231"/>
    </row>
    <row r="121" spans="2:11" ht="18">
      <c r="B121" s="228"/>
      <c r="C121" s="232"/>
      <c r="D121" s="239">
        <v>33</v>
      </c>
      <c r="E121" s="240">
        <f t="shared" si="6"/>
        <v>46178</v>
      </c>
      <c r="F121" s="241">
        <f t="shared" si="7"/>
        <v>52065.884175501611</v>
      </c>
      <c r="G121" s="241">
        <f t="shared" si="8"/>
        <v>41897.167139333345</v>
      </c>
      <c r="H121" s="241">
        <f t="shared" si="9"/>
        <v>10168.717036168266</v>
      </c>
      <c r="I121" s="242">
        <f t="shared" si="10"/>
        <v>8393422.4653088506</v>
      </c>
      <c r="J121" s="230"/>
      <c r="K121" s="231"/>
    </row>
    <row r="122" spans="2:11" ht="18">
      <c r="B122" s="228"/>
      <c r="C122" s="232"/>
      <c r="D122" s="239">
        <v>34</v>
      </c>
      <c r="E122" s="240">
        <f t="shared" si="6"/>
        <v>46208</v>
      </c>
      <c r="F122" s="241">
        <f t="shared" si="7"/>
        <v>52065.884175501618</v>
      </c>
      <c r="G122" s="241">
        <f t="shared" si="8"/>
        <v>41846.408293461143</v>
      </c>
      <c r="H122" s="241">
        <f t="shared" si="9"/>
        <v>10219.475882040475</v>
      </c>
      <c r="I122" s="242">
        <f t="shared" si="10"/>
        <v>8383253.7482726825</v>
      </c>
      <c r="J122" s="230"/>
      <c r="K122" s="231"/>
    </row>
    <row r="123" spans="2:11" ht="18">
      <c r="B123" s="228"/>
      <c r="C123" s="232"/>
      <c r="D123" s="239">
        <v>35</v>
      </c>
      <c r="E123" s="240">
        <f t="shared" si="6"/>
        <v>46239</v>
      </c>
      <c r="F123" s="241">
        <f t="shared" si="7"/>
        <v>52065.884175501618</v>
      </c>
      <c r="G123" s="241">
        <f t="shared" si="8"/>
        <v>41795.396076349956</v>
      </c>
      <c r="H123" s="241">
        <f t="shared" si="9"/>
        <v>10270.488099151662</v>
      </c>
      <c r="I123" s="242">
        <f t="shared" si="10"/>
        <v>8373034.2723906422</v>
      </c>
      <c r="J123" s="230"/>
      <c r="K123" s="231"/>
    </row>
    <row r="124" spans="2:11" ht="18">
      <c r="B124" s="228"/>
      <c r="C124" s="232"/>
      <c r="D124" s="239">
        <v>36</v>
      </c>
      <c r="E124" s="240">
        <f t="shared" si="6"/>
        <v>46270</v>
      </c>
      <c r="F124" s="241">
        <f t="shared" si="7"/>
        <v>52065.884175501618</v>
      </c>
      <c r="G124" s="241">
        <f t="shared" si="8"/>
        <v>41744.129223255026</v>
      </c>
      <c r="H124" s="241">
        <f t="shared" si="9"/>
        <v>10321.754952246592</v>
      </c>
      <c r="I124" s="242">
        <f t="shared" si="10"/>
        <v>8362763.7842914909</v>
      </c>
      <c r="J124" s="230"/>
      <c r="K124" s="231"/>
    </row>
    <row r="125" spans="2:11" ht="18">
      <c r="B125" s="228"/>
      <c r="C125" s="232"/>
      <c r="D125" s="239">
        <v>37</v>
      </c>
      <c r="E125" s="240">
        <f t="shared" si="6"/>
        <v>46300</v>
      </c>
      <c r="F125" s="241">
        <f t="shared" si="7"/>
        <v>52065.884175501626</v>
      </c>
      <c r="G125" s="241">
        <f t="shared" si="8"/>
        <v>41692.606463118398</v>
      </c>
      <c r="H125" s="241">
        <f t="shared" si="9"/>
        <v>10373.277712383227</v>
      </c>
      <c r="I125" s="242">
        <f t="shared" si="10"/>
        <v>8352442.0293392446</v>
      </c>
      <c r="J125" s="230"/>
      <c r="K125" s="231"/>
    </row>
    <row r="126" spans="2:11" ht="18">
      <c r="B126" s="228"/>
      <c r="C126" s="232"/>
      <c r="D126" s="239">
        <v>38</v>
      </c>
      <c r="E126" s="240">
        <f t="shared" si="6"/>
        <v>46331</v>
      </c>
      <c r="F126" s="241">
        <f t="shared" si="7"/>
        <v>52065.884175501626</v>
      </c>
      <c r="G126" s="241">
        <f t="shared" si="8"/>
        <v>41640.826518537418</v>
      </c>
      <c r="H126" s="241">
        <f t="shared" si="9"/>
        <v>10425.057656964207</v>
      </c>
      <c r="I126" s="242">
        <f t="shared" si="10"/>
        <v>8342068.7516268613</v>
      </c>
      <c r="J126" s="230"/>
      <c r="K126" s="231"/>
    </row>
    <row r="127" spans="2:11" ht="18">
      <c r="B127" s="228"/>
      <c r="C127" s="232"/>
      <c r="D127" s="239">
        <v>39</v>
      </c>
      <c r="E127" s="240">
        <f t="shared" si="6"/>
        <v>46361</v>
      </c>
      <c r="F127" s="241">
        <f t="shared" si="7"/>
        <v>52065.884175501611</v>
      </c>
      <c r="G127" s="241">
        <f t="shared" si="8"/>
        <v>41588.788105733067</v>
      </c>
      <c r="H127" s="241">
        <f t="shared" si="9"/>
        <v>10477.096069768544</v>
      </c>
      <c r="I127" s="242">
        <f t="shared" si="10"/>
        <v>8331643.693969897</v>
      </c>
      <c r="J127" s="230"/>
      <c r="K127" s="231"/>
    </row>
    <row r="128" spans="2:11" ht="18">
      <c r="B128" s="228"/>
      <c r="C128" s="232"/>
      <c r="D128" s="239">
        <v>40</v>
      </c>
      <c r="E128" s="240">
        <f t="shared" si="6"/>
        <v>46392</v>
      </c>
      <c r="F128" s="241">
        <f t="shared" si="7"/>
        <v>52065.884175501618</v>
      </c>
      <c r="G128" s="241">
        <f t="shared" si="8"/>
        <v>41536.48993451814</v>
      </c>
      <c r="H128" s="241">
        <f t="shared" si="9"/>
        <v>10529.394240983478</v>
      </c>
      <c r="I128" s="242">
        <f t="shared" si="10"/>
        <v>8321166.597900128</v>
      </c>
      <c r="J128" s="230"/>
      <c r="K128" s="231"/>
    </row>
    <row r="129" spans="2:11" ht="18">
      <c r="B129" s="228"/>
      <c r="C129" s="232"/>
      <c r="D129" s="239">
        <v>41</v>
      </c>
      <c r="E129" s="240">
        <f t="shared" si="6"/>
        <v>46423</v>
      </c>
      <c r="F129" s="241">
        <f t="shared" si="7"/>
        <v>52065.884175501618</v>
      </c>
      <c r="G129" s="241">
        <f t="shared" si="8"/>
        <v>41483.93070826523</v>
      </c>
      <c r="H129" s="241">
        <f t="shared" si="9"/>
        <v>10581.953467236388</v>
      </c>
      <c r="I129" s="242">
        <f t="shared" si="10"/>
        <v>8310637.2036591442</v>
      </c>
      <c r="J129" s="230"/>
      <c r="K129" s="231"/>
    </row>
    <row r="130" spans="2:11" ht="18">
      <c r="B130" s="228"/>
      <c r="C130" s="232"/>
      <c r="D130" s="239">
        <v>42</v>
      </c>
      <c r="E130" s="240">
        <f t="shared" si="6"/>
        <v>46451</v>
      </c>
      <c r="F130" s="241">
        <f t="shared" si="7"/>
        <v>52065.884175501618</v>
      </c>
      <c r="G130" s="241">
        <f t="shared" si="8"/>
        <v>41431.109123874608</v>
      </c>
      <c r="H130" s="241">
        <f t="shared" si="9"/>
        <v>10634.77505162701</v>
      </c>
      <c r="I130" s="242">
        <f t="shared" si="10"/>
        <v>8300055.2501919074</v>
      </c>
      <c r="J130" s="230"/>
      <c r="K130" s="231"/>
    </row>
    <row r="131" spans="2:11" ht="18">
      <c r="B131" s="228"/>
      <c r="C131" s="232"/>
      <c r="D131" s="239">
        <v>43</v>
      </c>
      <c r="E131" s="240">
        <f t="shared" si="6"/>
        <v>46482</v>
      </c>
      <c r="F131" s="241">
        <f t="shared" si="7"/>
        <v>52065.884175501611</v>
      </c>
      <c r="G131" s="241">
        <f t="shared" si="8"/>
        <v>41378.023871741898</v>
      </c>
      <c r="H131" s="241">
        <f t="shared" si="9"/>
        <v>10687.860303759713</v>
      </c>
      <c r="I131" s="242">
        <f t="shared" si="10"/>
        <v>8289420.4751402801</v>
      </c>
      <c r="J131" s="230"/>
      <c r="K131" s="231"/>
    </row>
    <row r="132" spans="2:11" ht="18">
      <c r="B132" s="228"/>
      <c r="C132" s="232"/>
      <c r="D132" s="239">
        <v>44</v>
      </c>
      <c r="E132" s="240">
        <f t="shared" si="6"/>
        <v>46512</v>
      </c>
      <c r="F132" s="241">
        <f t="shared" si="7"/>
        <v>52065.884175501611</v>
      </c>
      <c r="G132" s="241">
        <f t="shared" si="8"/>
        <v>41324.67363572563</v>
      </c>
      <c r="H132" s="241">
        <f t="shared" si="9"/>
        <v>10741.210539775981</v>
      </c>
      <c r="I132" s="242">
        <f t="shared" si="10"/>
        <v>8278732.6148365205</v>
      </c>
      <c r="J132" s="230"/>
      <c r="K132" s="231"/>
    </row>
    <row r="133" spans="2:11" ht="18">
      <c r="B133" s="228"/>
      <c r="C133" s="232"/>
      <c r="D133" s="239">
        <v>45</v>
      </c>
      <c r="E133" s="240">
        <f t="shared" si="6"/>
        <v>46543</v>
      </c>
      <c r="F133" s="241">
        <f t="shared" si="7"/>
        <v>52065.884175501618</v>
      </c>
      <c r="G133" s="241">
        <f t="shared" si="8"/>
        <v>41271.057093114585</v>
      </c>
      <c r="H133" s="241">
        <f t="shared" si="9"/>
        <v>10794.827082387033</v>
      </c>
      <c r="I133" s="242">
        <f t="shared" si="10"/>
        <v>8267991.4042967446</v>
      </c>
      <c r="J133" s="230"/>
      <c r="K133" s="231"/>
    </row>
    <row r="134" spans="2:11" ht="18">
      <c r="B134" s="228"/>
      <c r="C134" s="232"/>
      <c r="D134" s="239">
        <v>46</v>
      </c>
      <c r="E134" s="240">
        <f t="shared" si="6"/>
        <v>46573</v>
      </c>
      <c r="F134" s="241">
        <f t="shared" si="7"/>
        <v>52065.884175501611</v>
      </c>
      <c r="G134" s="241">
        <f t="shared" si="8"/>
        <v>41217.172914595001</v>
      </c>
      <c r="H134" s="241">
        <f t="shared" si="9"/>
        <v>10848.71126090661</v>
      </c>
      <c r="I134" s="242">
        <f t="shared" si="10"/>
        <v>8257196.5772143574</v>
      </c>
      <c r="J134" s="230"/>
      <c r="K134" s="231"/>
    </row>
    <row r="135" spans="2:11" ht="18">
      <c r="B135" s="228"/>
      <c r="C135" s="232"/>
      <c r="D135" s="239">
        <v>47</v>
      </c>
      <c r="E135" s="240">
        <f t="shared" si="6"/>
        <v>46604</v>
      </c>
      <c r="F135" s="241">
        <f t="shared" si="7"/>
        <v>52065.884175501618</v>
      </c>
      <c r="G135" s="241">
        <f t="shared" si="8"/>
        <v>41163.019764217643</v>
      </c>
      <c r="H135" s="241">
        <f t="shared" si="9"/>
        <v>10902.864411283976</v>
      </c>
      <c r="I135" s="242">
        <f t="shared" si="10"/>
        <v>8246347.865953451</v>
      </c>
      <c r="J135" s="230"/>
      <c r="K135" s="231"/>
    </row>
    <row r="136" spans="2:11" ht="18">
      <c r="B136" s="228"/>
      <c r="C136" s="232"/>
      <c r="D136" s="239">
        <v>48</v>
      </c>
      <c r="E136" s="240">
        <f t="shared" si="6"/>
        <v>46635</v>
      </c>
      <c r="F136" s="241">
        <f t="shared" si="7"/>
        <v>52065.884175501626</v>
      </c>
      <c r="G136" s="241">
        <f t="shared" si="8"/>
        <v>41108.596299364654</v>
      </c>
      <c r="H136" s="241">
        <f t="shared" si="9"/>
        <v>10957.287876136972</v>
      </c>
      <c r="I136" s="242">
        <f t="shared" si="10"/>
        <v>8235445.0015421668</v>
      </c>
      <c r="J136" s="230"/>
      <c r="K136" s="231"/>
    </row>
    <row r="137" spans="2:11" ht="18">
      <c r="B137" s="228"/>
      <c r="C137" s="232"/>
      <c r="D137" s="239">
        <v>49</v>
      </c>
      <c r="E137" s="240">
        <f t="shared" si="6"/>
        <v>46665</v>
      </c>
      <c r="F137" s="241">
        <f t="shared" si="7"/>
        <v>52065.884175501626</v>
      </c>
      <c r="G137" s="241">
        <f t="shared" si="8"/>
        <v>41053.901170716272</v>
      </c>
      <c r="H137" s="241">
        <f t="shared" si="9"/>
        <v>11011.983004785354</v>
      </c>
      <c r="I137" s="242">
        <f t="shared" si="10"/>
        <v>8224487.7136660302</v>
      </c>
      <c r="J137" s="230"/>
      <c r="K137" s="231"/>
    </row>
    <row r="138" spans="2:11" ht="18">
      <c r="B138" s="228"/>
      <c r="C138" s="232"/>
      <c r="D138" s="239">
        <v>50</v>
      </c>
      <c r="E138" s="240">
        <f t="shared" si="6"/>
        <v>46696</v>
      </c>
      <c r="F138" s="241">
        <f t="shared" si="7"/>
        <v>52065.884175501618</v>
      </c>
      <c r="G138" s="241">
        <f t="shared" si="8"/>
        <v>40998.933022217381</v>
      </c>
      <c r="H138" s="241">
        <f t="shared" si="9"/>
        <v>11066.951153284237</v>
      </c>
      <c r="I138" s="242">
        <f t="shared" si="10"/>
        <v>8213475.7306612451</v>
      </c>
      <c r="J138" s="230"/>
      <c r="K138" s="231"/>
    </row>
    <row r="139" spans="2:11" ht="18">
      <c r="B139" s="228"/>
      <c r="C139" s="232"/>
      <c r="D139" s="239">
        <v>51</v>
      </c>
      <c r="E139" s="240">
        <f t="shared" si="6"/>
        <v>46726</v>
      </c>
      <c r="F139" s="241">
        <f t="shared" si="7"/>
        <v>52065.884175501618</v>
      </c>
      <c r="G139" s="241">
        <f t="shared" si="8"/>
        <v>40943.690491043904</v>
      </c>
      <c r="H139" s="241">
        <f t="shared" si="9"/>
        <v>11122.193684457714</v>
      </c>
      <c r="I139" s="242">
        <f t="shared" si="10"/>
        <v>8202408.7795079611</v>
      </c>
      <c r="J139" s="230"/>
      <c r="K139" s="231"/>
    </row>
    <row r="140" spans="2:11" ht="18">
      <c r="B140" s="228"/>
      <c r="C140" s="232"/>
      <c r="D140" s="239">
        <v>52</v>
      </c>
      <c r="E140" s="240">
        <f t="shared" si="6"/>
        <v>46757</v>
      </c>
      <c r="F140" s="241">
        <f t="shared" si="7"/>
        <v>52065.884175501626</v>
      </c>
      <c r="G140" s="241">
        <f t="shared" si="8"/>
        <v>40888.17220756899</v>
      </c>
      <c r="H140" s="241">
        <f t="shared" si="9"/>
        <v>11177.711967932635</v>
      </c>
      <c r="I140" s="242">
        <f t="shared" si="10"/>
        <v>8191286.5858235033</v>
      </c>
      <c r="J140" s="230"/>
      <c r="K140" s="231"/>
    </row>
    <row r="141" spans="2:11" ht="18">
      <c r="B141" s="228"/>
      <c r="C141" s="232"/>
      <c r="D141" s="239">
        <v>53</v>
      </c>
      <c r="E141" s="240">
        <f t="shared" si="6"/>
        <v>46788</v>
      </c>
      <c r="F141" s="241">
        <f t="shared" si="7"/>
        <v>52065.884175501626</v>
      </c>
      <c r="G141" s="241">
        <f t="shared" si="8"/>
        <v>40832.376795329059</v>
      </c>
      <c r="H141" s="241">
        <f t="shared" si="9"/>
        <v>11233.507380172567</v>
      </c>
      <c r="I141" s="242">
        <f t="shared" si="10"/>
        <v>8180108.8738555703</v>
      </c>
      <c r="J141" s="230"/>
      <c r="K141" s="231"/>
    </row>
    <row r="142" spans="2:11" ht="18">
      <c r="B142" s="228"/>
      <c r="C142" s="232"/>
      <c r="D142" s="239">
        <v>54</v>
      </c>
      <c r="E142" s="240">
        <f t="shared" si="6"/>
        <v>46817</v>
      </c>
      <c r="F142" s="241">
        <f t="shared" si="7"/>
        <v>52065.884175501626</v>
      </c>
      <c r="G142" s="241">
        <f t="shared" si="8"/>
        <v>40776.302870989697</v>
      </c>
      <c r="H142" s="241">
        <f t="shared" si="9"/>
        <v>11289.581304511928</v>
      </c>
      <c r="I142" s="242">
        <f t="shared" si="10"/>
        <v>8168875.3664753977</v>
      </c>
      <c r="J142" s="230"/>
      <c r="K142" s="231"/>
    </row>
    <row r="143" spans="2:11" ht="18">
      <c r="B143" s="228"/>
      <c r="C143" s="232"/>
      <c r="D143" s="239">
        <v>55</v>
      </c>
      <c r="E143" s="240">
        <f t="shared" si="6"/>
        <v>46848</v>
      </c>
      <c r="F143" s="241">
        <f t="shared" si="7"/>
        <v>52065.884175501626</v>
      </c>
      <c r="G143" s="241">
        <f t="shared" si="8"/>
        <v>40719.949044311339</v>
      </c>
      <c r="H143" s="241">
        <f t="shared" si="9"/>
        <v>11345.935131190286</v>
      </c>
      <c r="I143" s="242">
        <f t="shared" si="10"/>
        <v>8157585.7851708857</v>
      </c>
      <c r="J143" s="230"/>
      <c r="K143" s="231"/>
    </row>
    <row r="144" spans="2:11" ht="18">
      <c r="B144" s="228"/>
      <c r="C144" s="232"/>
      <c r="D144" s="239">
        <v>56</v>
      </c>
      <c r="E144" s="240">
        <f t="shared" si="6"/>
        <v>46878</v>
      </c>
      <c r="F144" s="241">
        <f t="shared" si="7"/>
        <v>52065.884175501626</v>
      </c>
      <c r="G144" s="241">
        <f t="shared" si="8"/>
        <v>40663.313918114814</v>
      </c>
      <c r="H144" s="241">
        <f t="shared" si="9"/>
        <v>11402.570257386811</v>
      </c>
      <c r="I144" s="242">
        <f t="shared" si="10"/>
        <v>8146239.8500396954</v>
      </c>
      <c r="J144" s="230"/>
      <c r="K144" s="231"/>
    </row>
    <row r="145" spans="2:11" ht="18">
      <c r="B145" s="228"/>
      <c r="C145" s="232"/>
      <c r="D145" s="239">
        <v>57</v>
      </c>
      <c r="E145" s="240">
        <f t="shared" si="6"/>
        <v>46909</v>
      </c>
      <c r="F145" s="241">
        <f t="shared" si="7"/>
        <v>52065.884175501626</v>
      </c>
      <c r="G145" s="241">
        <f t="shared" si="8"/>
        <v>40606.396088246693</v>
      </c>
      <c r="H145" s="241">
        <f t="shared" si="9"/>
        <v>11459.488087254933</v>
      </c>
      <c r="I145" s="242">
        <f t="shared" si="10"/>
        <v>8134837.2797823083</v>
      </c>
      <c r="J145" s="230"/>
      <c r="K145" s="231"/>
    </row>
    <row r="146" spans="2:11" ht="18">
      <c r="B146" s="228"/>
      <c r="C146" s="232"/>
      <c r="D146" s="239">
        <v>58</v>
      </c>
      <c r="E146" s="240">
        <f t="shared" si="6"/>
        <v>46939</v>
      </c>
      <c r="F146" s="241">
        <f t="shared" si="7"/>
        <v>52065.884175501618</v>
      </c>
      <c r="G146" s="241">
        <f t="shared" si="8"/>
        <v>40549.194143544475</v>
      </c>
      <c r="H146" s="241">
        <f t="shared" si="9"/>
        <v>11516.690031957143</v>
      </c>
      <c r="I146" s="242">
        <f t="shared" si="10"/>
        <v>8123377.7916950537</v>
      </c>
      <c r="J146" s="230"/>
      <c r="K146" s="231"/>
    </row>
    <row r="147" spans="2:11" ht="18">
      <c r="B147" s="228"/>
      <c r="C147" s="232"/>
      <c r="D147" s="239">
        <v>59</v>
      </c>
      <c r="E147" s="240">
        <f t="shared" si="6"/>
        <v>46970</v>
      </c>
      <c r="F147" s="241">
        <f t="shared" si="7"/>
        <v>52065.884175501618</v>
      </c>
      <c r="G147" s="241">
        <f t="shared" si="8"/>
        <v>40491.706665801627</v>
      </c>
      <c r="H147" s="241">
        <f t="shared" si="9"/>
        <v>11574.177509699992</v>
      </c>
      <c r="I147" s="242">
        <f t="shared" si="10"/>
        <v>8111861.1016630968</v>
      </c>
      <c r="J147" s="230"/>
      <c r="K147" s="231"/>
    </row>
    <row r="148" spans="2:11" ht="18">
      <c r="B148" s="228"/>
      <c r="C148" s="232"/>
      <c r="D148" s="239">
        <v>60</v>
      </c>
      <c r="E148" s="240">
        <f t="shared" si="6"/>
        <v>47001</v>
      </c>
      <c r="F148" s="241">
        <f t="shared" si="7"/>
        <v>52065.884175501626</v>
      </c>
      <c r="G148" s="241">
        <f t="shared" si="8"/>
        <v>40433.932229732374</v>
      </c>
      <c r="H148" s="241">
        <f t="shared" si="9"/>
        <v>11631.951945769251</v>
      </c>
      <c r="I148" s="242">
        <f t="shared" si="10"/>
        <v>8100286.9241533969</v>
      </c>
      <c r="J148" s="230"/>
      <c r="K148" s="231"/>
    </row>
    <row r="149" spans="2:11" ht="18">
      <c r="B149" s="228"/>
      <c r="C149" s="232"/>
      <c r="D149" s="239">
        <v>61</v>
      </c>
      <c r="E149" s="240">
        <f t="shared" si="6"/>
        <v>47031</v>
      </c>
      <c r="F149" s="241">
        <f t="shared" si="7"/>
        <v>52065.884175501618</v>
      </c>
      <c r="G149" s="241">
        <f t="shared" si="8"/>
        <v>40375.869402936405</v>
      </c>
      <c r="H149" s="241">
        <f t="shared" si="9"/>
        <v>11690.014772565213</v>
      </c>
      <c r="I149" s="242">
        <f t="shared" si="10"/>
        <v>8088654.9722076273</v>
      </c>
      <c r="J149" s="230"/>
      <c r="K149" s="231"/>
    </row>
    <row r="150" spans="2:11" ht="18">
      <c r="B150" s="228"/>
      <c r="C150" s="232"/>
      <c r="D150" s="239">
        <v>62</v>
      </c>
      <c r="E150" s="240">
        <f t="shared" si="6"/>
        <v>47062</v>
      </c>
      <c r="F150" s="241">
        <f t="shared" si="7"/>
        <v>52065.884175501626</v>
      </c>
      <c r="G150" s="241">
        <f t="shared" si="8"/>
        <v>40317.516745863351</v>
      </c>
      <c r="H150" s="241">
        <f t="shared" si="9"/>
        <v>11748.367429638274</v>
      </c>
      <c r="I150" s="242">
        <f t="shared" si="10"/>
        <v>8076964.9574350622</v>
      </c>
      <c r="J150" s="230"/>
      <c r="K150" s="231"/>
    </row>
    <row r="151" spans="2:11" ht="18">
      <c r="B151" s="228"/>
      <c r="C151" s="232"/>
      <c r="D151" s="239">
        <v>63</v>
      </c>
      <c r="E151" s="240">
        <f t="shared" si="6"/>
        <v>47092</v>
      </c>
      <c r="F151" s="241">
        <f t="shared" si="7"/>
        <v>52065.884175501626</v>
      </c>
      <c r="G151" s="241">
        <f t="shared" si="8"/>
        <v>40258.872811777073</v>
      </c>
      <c r="H151" s="241">
        <f t="shared" si="9"/>
        <v>11807.011363724552</v>
      </c>
      <c r="I151" s="242">
        <f t="shared" si="10"/>
        <v>8065216.5900054239</v>
      </c>
      <c r="J151" s="230"/>
      <c r="K151" s="231"/>
    </row>
    <row r="152" spans="2:11" ht="18">
      <c r="B152" s="228"/>
      <c r="C152" s="232"/>
      <c r="D152" s="239">
        <v>64</v>
      </c>
      <c r="E152" s="240">
        <f t="shared" si="6"/>
        <v>47123</v>
      </c>
      <c r="F152" s="241">
        <f t="shared" si="7"/>
        <v>52065.884175501626</v>
      </c>
      <c r="G152" s="241">
        <f t="shared" si="8"/>
        <v>40199.936146719818</v>
      </c>
      <c r="H152" s="241">
        <f t="shared" si="9"/>
        <v>11865.948028781808</v>
      </c>
      <c r="I152" s="242">
        <f t="shared" si="10"/>
        <v>8053409.5786416996</v>
      </c>
      <c r="J152" s="230"/>
      <c r="K152" s="231"/>
    </row>
    <row r="153" spans="2:11" ht="18">
      <c r="B153" s="228"/>
      <c r="C153" s="232"/>
      <c r="D153" s="239">
        <v>65</v>
      </c>
      <c r="E153" s="240">
        <f t="shared" si="6"/>
        <v>47154</v>
      </c>
      <c r="F153" s="241">
        <f t="shared" si="7"/>
        <v>52065.884175501633</v>
      </c>
      <c r="G153" s="241">
        <f t="shared" si="8"/>
        <v>40140.705289476151</v>
      </c>
      <c r="H153" s="241">
        <f t="shared" si="9"/>
        <v>11925.178886025482</v>
      </c>
      <c r="I153" s="242">
        <f t="shared" si="10"/>
        <v>8041543.6306129182</v>
      </c>
      <c r="J153" s="230"/>
      <c r="K153" s="231"/>
    </row>
    <row r="154" spans="2:11" ht="18">
      <c r="B154" s="228"/>
      <c r="C154" s="232"/>
      <c r="D154" s="239">
        <v>66</v>
      </c>
      <c r="E154" s="240">
        <f t="shared" si="6"/>
        <v>47182</v>
      </c>
      <c r="F154" s="241">
        <f t="shared" si="7"/>
        <v>52065.884175501626</v>
      </c>
      <c r="G154" s="241">
        <f t="shared" si="8"/>
        <v>40081.178771536739</v>
      </c>
      <c r="H154" s="241">
        <f t="shared" si="9"/>
        <v>11984.705403964887</v>
      </c>
      <c r="I154" s="242">
        <f t="shared" si="10"/>
        <v>8029618.451726893</v>
      </c>
      <c r="J154" s="230"/>
      <c r="K154" s="231"/>
    </row>
    <row r="155" spans="2:11" ht="18">
      <c r="B155" s="228"/>
      <c r="C155" s="232"/>
      <c r="D155" s="239">
        <v>67</v>
      </c>
      <c r="E155" s="240">
        <f t="shared" ref="E155:E218" si="11">DATE(YEAR($E154),MONTH($E154)+1,DAY($E154))</f>
        <v>47213</v>
      </c>
      <c r="F155" s="241">
        <f t="shared" ref="F155:F218" si="12">IFERROR(((I155))*($H$86/12)/(1-(1+($H$86/12))^-($E$26-D154)),"")</f>
        <v>52065.884175501618</v>
      </c>
      <c r="G155" s="241">
        <f t="shared" ref="G155:G218" si="13">IFERROR((IF(I155&gt;0,(I155*($H$86/12)),"")),"")</f>
        <v>40021.355117061947</v>
      </c>
      <c r="H155" s="241">
        <f t="shared" ref="H155:H218" si="14">IFERROR((F155-G155),"")</f>
        <v>12044.529058439672</v>
      </c>
      <c r="I155" s="242">
        <f t="shared" ref="I155:I218" si="15">IFERROR((IF(D155&gt;$E$26,0,I154-H154)),"")</f>
        <v>8017633.746322928</v>
      </c>
      <c r="J155" s="230"/>
      <c r="K155" s="231"/>
    </row>
    <row r="156" spans="2:11" ht="18">
      <c r="B156" s="228"/>
      <c r="C156" s="232"/>
      <c r="D156" s="239">
        <v>68</v>
      </c>
      <c r="E156" s="240">
        <f t="shared" si="11"/>
        <v>47243</v>
      </c>
      <c r="F156" s="241">
        <f t="shared" si="12"/>
        <v>52065.884175501633</v>
      </c>
      <c r="G156" s="241">
        <f t="shared" si="13"/>
        <v>39961.232842845238</v>
      </c>
      <c r="H156" s="241">
        <f t="shared" si="14"/>
        <v>12104.651332656395</v>
      </c>
      <c r="I156" s="242">
        <f t="shared" si="15"/>
        <v>8005589.2172644883</v>
      </c>
      <c r="J156" s="230"/>
      <c r="K156" s="231"/>
    </row>
    <row r="157" spans="2:11" ht="18">
      <c r="B157" s="228"/>
      <c r="C157" s="232"/>
      <c r="D157" s="239">
        <v>69</v>
      </c>
      <c r="E157" s="240">
        <f t="shared" si="11"/>
        <v>47274</v>
      </c>
      <c r="F157" s="241">
        <f t="shared" si="12"/>
        <v>52065.884175501633</v>
      </c>
      <c r="G157" s="241">
        <f t="shared" si="13"/>
        <v>39900.810458276392</v>
      </c>
      <c r="H157" s="241">
        <f t="shared" si="14"/>
        <v>12165.073717225241</v>
      </c>
      <c r="I157" s="242">
        <f t="shared" si="15"/>
        <v>7993484.5659318315</v>
      </c>
      <c r="J157" s="230"/>
      <c r="K157" s="231"/>
    </row>
    <row r="158" spans="2:11" ht="18">
      <c r="B158" s="228"/>
      <c r="C158" s="232"/>
      <c r="D158" s="239">
        <v>70</v>
      </c>
      <c r="E158" s="240">
        <f t="shared" si="11"/>
        <v>47304</v>
      </c>
      <c r="F158" s="241">
        <f t="shared" si="12"/>
        <v>52065.884175501633</v>
      </c>
      <c r="G158" s="241">
        <f t="shared" si="13"/>
        <v>39840.086465304579</v>
      </c>
      <c r="H158" s="241">
        <f t="shared" si="14"/>
        <v>12225.797710197054</v>
      </c>
      <c r="I158" s="242">
        <f t="shared" si="15"/>
        <v>7981319.4922146061</v>
      </c>
      <c r="J158" s="230"/>
      <c r="K158" s="231"/>
    </row>
    <row r="159" spans="2:11" ht="18">
      <c r="B159" s="228"/>
      <c r="C159" s="232"/>
      <c r="D159" s="239">
        <v>71</v>
      </c>
      <c r="E159" s="240">
        <f t="shared" si="11"/>
        <v>47335</v>
      </c>
      <c r="F159" s="241">
        <f t="shared" si="12"/>
        <v>52065.884175501626</v>
      </c>
      <c r="G159" s="241">
        <f t="shared" si="13"/>
        <v>39779.059358401173</v>
      </c>
      <c r="H159" s="241">
        <f t="shared" si="14"/>
        <v>12286.824817100452</v>
      </c>
      <c r="I159" s="242">
        <f t="shared" si="15"/>
        <v>7969093.6945044091</v>
      </c>
      <c r="J159" s="230"/>
      <c r="K159" s="231"/>
    </row>
    <row r="160" spans="2:11" ht="18">
      <c r="B160" s="228"/>
      <c r="C160" s="232"/>
      <c r="D160" s="239">
        <v>72</v>
      </c>
      <c r="E160" s="240">
        <f t="shared" si="11"/>
        <v>47366</v>
      </c>
      <c r="F160" s="241">
        <f t="shared" si="12"/>
        <v>52065.884175501633</v>
      </c>
      <c r="G160" s="241">
        <f t="shared" si="13"/>
        <v>39717.727624522486</v>
      </c>
      <c r="H160" s="241">
        <f t="shared" si="14"/>
        <v>12348.156550979147</v>
      </c>
      <c r="I160" s="242">
        <f t="shared" si="15"/>
        <v>7956806.8696873086</v>
      </c>
      <c r="J160" s="230"/>
      <c r="K160" s="231"/>
    </row>
    <row r="161" spans="2:11" ht="18">
      <c r="B161" s="228"/>
      <c r="C161" s="232"/>
      <c r="D161" s="239">
        <v>73</v>
      </c>
      <c r="E161" s="240">
        <f t="shared" si="11"/>
        <v>47396</v>
      </c>
      <c r="F161" s="241">
        <f t="shared" si="12"/>
        <v>52065.88417550164</v>
      </c>
      <c r="G161" s="241">
        <f t="shared" si="13"/>
        <v>39656.089743072182</v>
      </c>
      <c r="H161" s="241">
        <f t="shared" si="14"/>
        <v>12409.794432429459</v>
      </c>
      <c r="I161" s="242">
        <f t="shared" si="15"/>
        <v>7944458.7131363293</v>
      </c>
      <c r="J161" s="230"/>
      <c r="K161" s="231"/>
    </row>
    <row r="162" spans="2:11" ht="18">
      <c r="B162" s="228"/>
      <c r="C162" s="232"/>
      <c r="D162" s="239">
        <v>74</v>
      </c>
      <c r="E162" s="240">
        <f t="shared" si="11"/>
        <v>47427</v>
      </c>
      <c r="F162" s="241">
        <f t="shared" si="12"/>
        <v>52065.884175501626</v>
      </c>
      <c r="G162" s="241">
        <f t="shared" si="13"/>
        <v>39594.144185863632</v>
      </c>
      <c r="H162" s="241">
        <f t="shared" si="14"/>
        <v>12471.739989637994</v>
      </c>
      <c r="I162" s="242">
        <f t="shared" si="15"/>
        <v>7932048.9187038997</v>
      </c>
      <c r="J162" s="230"/>
      <c r="K162" s="231"/>
    </row>
    <row r="163" spans="2:11" ht="18">
      <c r="B163" s="228"/>
      <c r="C163" s="232"/>
      <c r="D163" s="239">
        <v>75</v>
      </c>
      <c r="E163" s="240">
        <f t="shared" si="11"/>
        <v>47457</v>
      </c>
      <c r="F163" s="241">
        <f t="shared" si="12"/>
        <v>52065.884175501626</v>
      </c>
      <c r="G163" s="241">
        <f t="shared" si="13"/>
        <v>39531.88941708202</v>
      </c>
      <c r="H163" s="241">
        <f t="shared" si="14"/>
        <v>12533.994758419605</v>
      </c>
      <c r="I163" s="242">
        <f t="shared" si="15"/>
        <v>7919577.1787142614</v>
      </c>
      <c r="J163" s="230"/>
      <c r="K163" s="231"/>
    </row>
    <row r="164" spans="2:11" ht="18">
      <c r="B164" s="228"/>
      <c r="C164" s="232"/>
      <c r="D164" s="239">
        <v>76</v>
      </c>
      <c r="E164" s="240">
        <f t="shared" si="11"/>
        <v>47488</v>
      </c>
      <c r="F164" s="241">
        <f t="shared" si="12"/>
        <v>52065.884175501626</v>
      </c>
      <c r="G164" s="241">
        <f t="shared" si="13"/>
        <v>39469.323893246241</v>
      </c>
      <c r="H164" s="241">
        <f t="shared" si="14"/>
        <v>12596.560282255385</v>
      </c>
      <c r="I164" s="242">
        <f t="shared" si="15"/>
        <v>7907043.1839558417</v>
      </c>
      <c r="J164" s="230"/>
      <c r="K164" s="231"/>
    </row>
    <row r="165" spans="2:11" ht="18">
      <c r="B165" s="228"/>
      <c r="C165" s="232"/>
      <c r="D165" s="239">
        <v>77</v>
      </c>
      <c r="E165" s="240">
        <f t="shared" si="11"/>
        <v>47519</v>
      </c>
      <c r="F165" s="241">
        <f t="shared" si="12"/>
        <v>52065.884175501633</v>
      </c>
      <c r="G165" s="241">
        <f t="shared" si="13"/>
        <v>39406.446063170653</v>
      </c>
      <c r="H165" s="241">
        <f t="shared" si="14"/>
        <v>12659.438112330979</v>
      </c>
      <c r="I165" s="242">
        <f t="shared" si="15"/>
        <v>7894446.6236735862</v>
      </c>
      <c r="J165" s="230"/>
      <c r="K165" s="231"/>
    </row>
    <row r="166" spans="2:11" ht="18">
      <c r="B166" s="228"/>
      <c r="C166" s="232"/>
      <c r="D166" s="239">
        <v>78</v>
      </c>
      <c r="E166" s="240">
        <f t="shared" si="11"/>
        <v>47547</v>
      </c>
      <c r="F166" s="241">
        <f t="shared" si="12"/>
        <v>52065.884175501626</v>
      </c>
      <c r="G166" s="241">
        <f t="shared" si="13"/>
        <v>39343.254367926602</v>
      </c>
      <c r="H166" s="241">
        <f t="shared" si="14"/>
        <v>12722.629807575024</v>
      </c>
      <c r="I166" s="242">
        <f t="shared" si="15"/>
        <v>7881787.1855612556</v>
      </c>
      <c r="J166" s="230"/>
      <c r="K166" s="231"/>
    </row>
    <row r="167" spans="2:11" ht="18">
      <c r="B167" s="228"/>
      <c r="C167" s="232"/>
      <c r="D167" s="239">
        <v>79</v>
      </c>
      <c r="E167" s="240">
        <f t="shared" si="11"/>
        <v>47578</v>
      </c>
      <c r="F167" s="241">
        <f t="shared" si="12"/>
        <v>52065.88417550164</v>
      </c>
      <c r="G167" s="241">
        <f t="shared" si="13"/>
        <v>39279.747240803794</v>
      </c>
      <c r="H167" s="241">
        <f t="shared" si="14"/>
        <v>12786.136934697846</v>
      </c>
      <c r="I167" s="242">
        <f t="shared" si="15"/>
        <v>7869064.5557536809</v>
      </c>
      <c r="J167" s="230"/>
      <c r="K167" s="231"/>
    </row>
    <row r="168" spans="2:11" ht="18">
      <c r="B168" s="228"/>
      <c r="C168" s="232"/>
      <c r="D168" s="239">
        <v>80</v>
      </c>
      <c r="E168" s="240">
        <f t="shared" si="11"/>
        <v>47608</v>
      </c>
      <c r="F168" s="241">
        <f t="shared" si="12"/>
        <v>52065.884175501633</v>
      </c>
      <c r="G168" s="241">
        <f t="shared" si="13"/>
        <v>39215.923107271425</v>
      </c>
      <c r="H168" s="241">
        <f t="shared" si="14"/>
        <v>12849.961068230208</v>
      </c>
      <c r="I168" s="242">
        <f t="shared" si="15"/>
        <v>7856278.4188189832</v>
      </c>
      <c r="J168" s="230"/>
      <c r="K168" s="231"/>
    </row>
    <row r="169" spans="2:11" ht="18">
      <c r="B169" s="228"/>
      <c r="C169" s="232"/>
      <c r="D169" s="239">
        <v>81</v>
      </c>
      <c r="E169" s="240">
        <f t="shared" si="11"/>
        <v>47639</v>
      </c>
      <c r="F169" s="241">
        <f t="shared" si="12"/>
        <v>52065.884175501633</v>
      </c>
      <c r="G169" s="241">
        <f t="shared" si="13"/>
        <v>39151.780384939178</v>
      </c>
      <c r="H169" s="241">
        <f t="shared" si="14"/>
        <v>12914.103790562454</v>
      </c>
      <c r="I169" s="242">
        <f t="shared" si="15"/>
        <v>7843428.4577507535</v>
      </c>
      <c r="J169" s="230"/>
      <c r="K169" s="231"/>
    </row>
    <row r="170" spans="2:11" ht="18">
      <c r="B170" s="228"/>
      <c r="C170" s="232"/>
      <c r="D170" s="239">
        <v>82</v>
      </c>
      <c r="E170" s="240">
        <f t="shared" si="11"/>
        <v>47669</v>
      </c>
      <c r="F170" s="241">
        <f t="shared" si="12"/>
        <v>52065.884175501626</v>
      </c>
      <c r="G170" s="241">
        <f t="shared" si="13"/>
        <v>39087.317483517952</v>
      </c>
      <c r="H170" s="241">
        <f t="shared" si="14"/>
        <v>12978.566691983673</v>
      </c>
      <c r="I170" s="242">
        <f t="shared" si="15"/>
        <v>7830514.3539601909</v>
      </c>
      <c r="J170" s="230"/>
      <c r="K170" s="231"/>
    </row>
    <row r="171" spans="2:11" ht="18">
      <c r="B171" s="228"/>
      <c r="C171" s="232"/>
      <c r="D171" s="239">
        <v>83</v>
      </c>
      <c r="E171" s="240">
        <f t="shared" si="11"/>
        <v>47700</v>
      </c>
      <c r="F171" s="241">
        <f t="shared" si="12"/>
        <v>52065.884175501647</v>
      </c>
      <c r="G171" s="241">
        <f t="shared" si="13"/>
        <v>39022.532804780472</v>
      </c>
      <c r="H171" s="241">
        <f t="shared" si="14"/>
        <v>13043.351370721175</v>
      </c>
      <c r="I171" s="242">
        <f t="shared" si="15"/>
        <v>7817535.7872682074</v>
      </c>
      <c r="J171" s="230"/>
      <c r="K171" s="231"/>
    </row>
    <row r="172" spans="2:11" ht="18">
      <c r="B172" s="228"/>
      <c r="C172" s="232"/>
      <c r="D172" s="239">
        <v>84</v>
      </c>
      <c r="E172" s="240">
        <f t="shared" si="11"/>
        <v>47731</v>
      </c>
      <c r="F172" s="241">
        <f t="shared" si="12"/>
        <v>52065.884175501647</v>
      </c>
      <c r="G172" s="241">
        <f t="shared" si="13"/>
        <v>38957.424742521624</v>
      </c>
      <c r="H172" s="241">
        <f t="shared" si="14"/>
        <v>13108.459432980024</v>
      </c>
      <c r="I172" s="242">
        <f t="shared" si="15"/>
        <v>7804492.4358974863</v>
      </c>
      <c r="J172" s="230"/>
      <c r="K172" s="231"/>
    </row>
    <row r="173" spans="2:11" ht="18">
      <c r="B173" s="228"/>
      <c r="C173" s="232"/>
      <c r="D173" s="239">
        <v>85</v>
      </c>
      <c r="E173" s="240">
        <f t="shared" si="11"/>
        <v>47761</v>
      </c>
      <c r="F173" s="241">
        <f t="shared" si="12"/>
        <v>52065.884175501633</v>
      </c>
      <c r="G173" s="241">
        <f t="shared" si="13"/>
        <v>38891.991682518659</v>
      </c>
      <c r="H173" s="241">
        <f t="shared" si="14"/>
        <v>13173.892492982974</v>
      </c>
      <c r="I173" s="242">
        <f t="shared" si="15"/>
        <v>7791383.9764645062</v>
      </c>
      <c r="J173" s="230"/>
      <c r="K173" s="231"/>
    </row>
    <row r="174" spans="2:11" ht="18">
      <c r="B174" s="228"/>
      <c r="C174" s="232"/>
      <c r="D174" s="239">
        <v>86</v>
      </c>
      <c r="E174" s="240">
        <f t="shared" si="11"/>
        <v>47792</v>
      </c>
      <c r="F174" s="241">
        <f t="shared" si="12"/>
        <v>52065.884175501633</v>
      </c>
      <c r="G174" s="241">
        <f t="shared" si="13"/>
        <v>38826.23200249119</v>
      </c>
      <c r="H174" s="241">
        <f t="shared" si="14"/>
        <v>13239.652173010443</v>
      </c>
      <c r="I174" s="242">
        <f t="shared" si="15"/>
        <v>7778210.0839715237</v>
      </c>
      <c r="J174" s="230"/>
      <c r="K174" s="231"/>
    </row>
    <row r="175" spans="2:11" ht="18">
      <c r="B175" s="228"/>
      <c r="C175" s="232"/>
      <c r="D175" s="239">
        <v>87</v>
      </c>
      <c r="E175" s="240">
        <f t="shared" si="11"/>
        <v>47822</v>
      </c>
      <c r="F175" s="241">
        <f t="shared" si="12"/>
        <v>52065.88417550164</v>
      </c>
      <c r="G175" s="241">
        <f t="shared" si="13"/>
        <v>38760.14407206091</v>
      </c>
      <c r="H175" s="241">
        <f t="shared" si="14"/>
        <v>13305.74010344073</v>
      </c>
      <c r="I175" s="242">
        <f t="shared" si="15"/>
        <v>7764970.431798513</v>
      </c>
      <c r="J175" s="230"/>
      <c r="K175" s="231"/>
    </row>
    <row r="176" spans="2:11" ht="18">
      <c r="B176" s="228"/>
      <c r="C176" s="232"/>
      <c r="D176" s="239">
        <v>88</v>
      </c>
      <c r="E176" s="240">
        <f t="shared" si="11"/>
        <v>47853</v>
      </c>
      <c r="F176" s="241">
        <f t="shared" si="12"/>
        <v>52065.884175501647</v>
      </c>
      <c r="G176" s="241">
        <f t="shared" si="13"/>
        <v>38693.72625271124</v>
      </c>
      <c r="H176" s="241">
        <f t="shared" si="14"/>
        <v>13372.157922790408</v>
      </c>
      <c r="I176" s="242">
        <f t="shared" si="15"/>
        <v>7751664.6916950727</v>
      </c>
      <c r="J176" s="230"/>
      <c r="K176" s="231"/>
    </row>
    <row r="177" spans="2:11" ht="18">
      <c r="B177" s="228"/>
      <c r="C177" s="232"/>
      <c r="D177" s="239">
        <v>89</v>
      </c>
      <c r="E177" s="240">
        <f t="shared" si="11"/>
        <v>47884</v>
      </c>
      <c r="F177" s="241">
        <f t="shared" si="12"/>
        <v>52065.884175501647</v>
      </c>
      <c r="G177" s="241">
        <f t="shared" si="13"/>
        <v>38626.976897746645</v>
      </c>
      <c r="H177" s="241">
        <f t="shared" si="14"/>
        <v>13438.907277755003</v>
      </c>
      <c r="I177" s="242">
        <f t="shared" si="15"/>
        <v>7738292.5337722823</v>
      </c>
      <c r="J177" s="230"/>
      <c r="K177" s="231"/>
    </row>
    <row r="178" spans="2:11" ht="18">
      <c r="B178" s="228"/>
      <c r="C178" s="232"/>
      <c r="D178" s="239">
        <v>90</v>
      </c>
      <c r="E178" s="240">
        <f t="shared" si="11"/>
        <v>47912</v>
      </c>
      <c r="F178" s="241">
        <f t="shared" si="12"/>
        <v>52065.88417550164</v>
      </c>
      <c r="G178" s="241">
        <f t="shared" si="13"/>
        <v>38559.894352251846</v>
      </c>
      <c r="H178" s="241">
        <f t="shared" si="14"/>
        <v>13505.989823249794</v>
      </c>
      <c r="I178" s="242">
        <f t="shared" si="15"/>
        <v>7724853.6264945269</v>
      </c>
      <c r="J178" s="230"/>
      <c r="K178" s="231"/>
    </row>
    <row r="179" spans="2:11" ht="18">
      <c r="B179" s="228"/>
      <c r="C179" s="232"/>
      <c r="D179" s="239">
        <v>91</v>
      </c>
      <c r="E179" s="240">
        <f t="shared" si="11"/>
        <v>47943</v>
      </c>
      <c r="F179" s="241">
        <f t="shared" si="12"/>
        <v>52065.884175501647</v>
      </c>
      <c r="G179" s="241">
        <f t="shared" si="13"/>
        <v>38492.476953050791</v>
      </c>
      <c r="H179" s="241">
        <f t="shared" si="14"/>
        <v>13573.407222450856</v>
      </c>
      <c r="I179" s="242">
        <f t="shared" si="15"/>
        <v>7711347.6366712768</v>
      </c>
      <c r="J179" s="230"/>
      <c r="K179" s="231"/>
    </row>
    <row r="180" spans="2:11" ht="18">
      <c r="B180" s="228"/>
      <c r="C180" s="232"/>
      <c r="D180" s="239">
        <v>92</v>
      </c>
      <c r="E180" s="240">
        <f t="shared" si="11"/>
        <v>47973</v>
      </c>
      <c r="F180" s="241">
        <f t="shared" si="12"/>
        <v>52065.884175501647</v>
      </c>
      <c r="G180" s="241">
        <f t="shared" si="13"/>
        <v>38424.723028665394</v>
      </c>
      <c r="H180" s="241">
        <f t="shared" si="14"/>
        <v>13641.161146836253</v>
      </c>
      <c r="I180" s="242">
        <f t="shared" si="15"/>
        <v>7697774.2294488261</v>
      </c>
      <c r="J180" s="230"/>
      <c r="K180" s="231"/>
    </row>
    <row r="181" spans="2:11" ht="18">
      <c r="B181" s="228"/>
      <c r="C181" s="232"/>
      <c r="D181" s="239">
        <v>93</v>
      </c>
      <c r="E181" s="240">
        <f t="shared" si="11"/>
        <v>48004</v>
      </c>
      <c r="F181" s="241">
        <f t="shared" si="12"/>
        <v>52065.884175501647</v>
      </c>
      <c r="G181" s="241">
        <f t="shared" si="13"/>
        <v>38356.630899274103</v>
      </c>
      <c r="H181" s="241">
        <f t="shared" si="14"/>
        <v>13709.253276227544</v>
      </c>
      <c r="I181" s="242">
        <f t="shared" si="15"/>
        <v>7684133.0683019897</v>
      </c>
      <c r="J181" s="230"/>
      <c r="K181" s="231"/>
    </row>
    <row r="182" spans="2:11" ht="18">
      <c r="B182" s="228"/>
      <c r="C182" s="232"/>
      <c r="D182" s="239">
        <v>94</v>
      </c>
      <c r="E182" s="240">
        <f t="shared" si="11"/>
        <v>48034</v>
      </c>
      <c r="F182" s="241">
        <f t="shared" si="12"/>
        <v>52065.884175501647</v>
      </c>
      <c r="G182" s="241">
        <f t="shared" si="13"/>
        <v>38288.198876670263</v>
      </c>
      <c r="H182" s="241">
        <f t="shared" si="14"/>
        <v>13777.685298831384</v>
      </c>
      <c r="I182" s="242">
        <f t="shared" si="15"/>
        <v>7670423.8150257617</v>
      </c>
      <c r="J182" s="230"/>
      <c r="K182" s="231"/>
    </row>
    <row r="183" spans="2:11" ht="18">
      <c r="B183" s="228"/>
      <c r="C183" s="232"/>
      <c r="D183" s="239">
        <v>95</v>
      </c>
      <c r="E183" s="240">
        <f t="shared" si="11"/>
        <v>48065</v>
      </c>
      <c r="F183" s="241">
        <f t="shared" si="12"/>
        <v>52065.884175501647</v>
      </c>
      <c r="G183" s="241">
        <f t="shared" si="13"/>
        <v>38219.425264220263</v>
      </c>
      <c r="H183" s="241">
        <f t="shared" si="14"/>
        <v>13846.458911281385</v>
      </c>
      <c r="I183" s="242">
        <f t="shared" si="15"/>
        <v>7656646.1297269305</v>
      </c>
      <c r="J183" s="230"/>
      <c r="K183" s="231"/>
    </row>
    <row r="184" spans="2:11" ht="18">
      <c r="B184" s="228"/>
      <c r="C184" s="232"/>
      <c r="D184" s="239">
        <v>96</v>
      </c>
      <c r="E184" s="240">
        <f t="shared" si="11"/>
        <v>48096</v>
      </c>
      <c r="F184" s="241">
        <f t="shared" si="12"/>
        <v>52065.884175501647</v>
      </c>
      <c r="G184" s="241">
        <f t="shared" si="13"/>
        <v>38150.30835682145</v>
      </c>
      <c r="H184" s="241">
        <f t="shared" si="14"/>
        <v>13915.575818680198</v>
      </c>
      <c r="I184" s="242">
        <f t="shared" si="15"/>
        <v>7642799.6708156494</v>
      </c>
      <c r="J184" s="230"/>
      <c r="K184" s="231"/>
    </row>
    <row r="185" spans="2:11" ht="18">
      <c r="B185" s="228"/>
      <c r="C185" s="232"/>
      <c r="D185" s="239">
        <v>97</v>
      </c>
      <c r="E185" s="240">
        <f t="shared" si="11"/>
        <v>48126</v>
      </c>
      <c r="F185" s="241">
        <f t="shared" si="12"/>
        <v>52065.88417550164</v>
      </c>
      <c r="G185" s="241">
        <f t="shared" si="13"/>
        <v>38080.846440859874</v>
      </c>
      <c r="H185" s="241">
        <f t="shared" si="14"/>
        <v>13985.037734641766</v>
      </c>
      <c r="I185" s="242">
        <f t="shared" si="15"/>
        <v>7628884.0949969692</v>
      </c>
      <c r="J185" s="230"/>
      <c r="K185" s="231"/>
    </row>
    <row r="186" spans="2:11" ht="18">
      <c r="B186" s="228"/>
      <c r="C186" s="232"/>
      <c r="D186" s="239">
        <v>98</v>
      </c>
      <c r="E186" s="240">
        <f t="shared" si="11"/>
        <v>48157</v>
      </c>
      <c r="F186" s="241">
        <f t="shared" si="12"/>
        <v>52065.884175501647</v>
      </c>
      <c r="G186" s="241">
        <f t="shared" si="13"/>
        <v>38011.037794167787</v>
      </c>
      <c r="H186" s="241">
        <f t="shared" si="14"/>
        <v>14054.84638133386</v>
      </c>
      <c r="I186" s="242">
        <f t="shared" si="15"/>
        <v>7614899.0572623275</v>
      </c>
      <c r="J186" s="230"/>
      <c r="K186" s="231"/>
    </row>
    <row r="187" spans="2:11" ht="18">
      <c r="B187" s="228"/>
      <c r="C187" s="232"/>
      <c r="D187" s="239">
        <v>99</v>
      </c>
      <c r="E187" s="240">
        <f t="shared" si="11"/>
        <v>48187</v>
      </c>
      <c r="F187" s="241">
        <f t="shared" si="12"/>
        <v>52065.884175501647</v>
      </c>
      <c r="G187" s="241">
        <f t="shared" si="13"/>
        <v>37940.880685980963</v>
      </c>
      <c r="H187" s="241">
        <f t="shared" si="14"/>
        <v>14125.003489520685</v>
      </c>
      <c r="I187" s="242">
        <f t="shared" si="15"/>
        <v>7600844.2108809939</v>
      </c>
      <c r="J187" s="230"/>
      <c r="K187" s="231"/>
    </row>
    <row r="188" spans="2:11" ht="18">
      <c r="B188" s="228"/>
      <c r="C188" s="232"/>
      <c r="D188" s="239">
        <v>100</v>
      </c>
      <c r="E188" s="240">
        <f t="shared" si="11"/>
        <v>48218</v>
      </c>
      <c r="F188" s="241">
        <f t="shared" si="12"/>
        <v>52065.884175501655</v>
      </c>
      <c r="G188" s="241">
        <f t="shared" si="13"/>
        <v>37870.373376895775</v>
      </c>
      <c r="H188" s="241">
        <f t="shared" si="14"/>
        <v>14195.510798605879</v>
      </c>
      <c r="I188" s="242">
        <f t="shared" si="15"/>
        <v>7586719.2073914735</v>
      </c>
      <c r="J188" s="230"/>
      <c r="K188" s="231"/>
    </row>
    <row r="189" spans="2:11" ht="18">
      <c r="B189" s="228"/>
      <c r="C189" s="232"/>
      <c r="D189" s="239">
        <v>101</v>
      </c>
      <c r="E189" s="240">
        <f t="shared" si="11"/>
        <v>48249</v>
      </c>
      <c r="F189" s="241">
        <f t="shared" si="12"/>
        <v>52065.884175501647</v>
      </c>
      <c r="G189" s="241">
        <f t="shared" si="13"/>
        <v>37799.514118826068</v>
      </c>
      <c r="H189" s="241">
        <f t="shared" si="14"/>
        <v>14266.37005667558</v>
      </c>
      <c r="I189" s="242">
        <f t="shared" si="15"/>
        <v>7572523.6965928674</v>
      </c>
      <c r="J189" s="230"/>
      <c r="K189" s="231"/>
    </row>
    <row r="190" spans="2:11" ht="18">
      <c r="B190" s="228"/>
      <c r="C190" s="232"/>
      <c r="D190" s="239">
        <v>102</v>
      </c>
      <c r="E190" s="240">
        <f t="shared" si="11"/>
        <v>48278</v>
      </c>
      <c r="F190" s="241">
        <f t="shared" si="12"/>
        <v>52065.884175501647</v>
      </c>
      <c r="G190" s="241">
        <f t="shared" si="13"/>
        <v>37728.301154959823</v>
      </c>
      <c r="H190" s="241">
        <f t="shared" si="14"/>
        <v>14337.583020541824</v>
      </c>
      <c r="I190" s="242">
        <f t="shared" si="15"/>
        <v>7558257.3265361916</v>
      </c>
      <c r="J190" s="230"/>
      <c r="K190" s="231"/>
    </row>
    <row r="191" spans="2:11" ht="18">
      <c r="B191" s="228"/>
      <c r="C191" s="232"/>
      <c r="D191" s="239">
        <v>103</v>
      </c>
      <c r="E191" s="240">
        <f t="shared" si="11"/>
        <v>48309</v>
      </c>
      <c r="F191" s="241">
        <f t="shared" si="12"/>
        <v>52065.884175501647</v>
      </c>
      <c r="G191" s="241">
        <f t="shared" si="13"/>
        <v>37656.732719715619</v>
      </c>
      <c r="H191" s="241">
        <f t="shared" si="14"/>
        <v>14409.151455786028</v>
      </c>
      <c r="I191" s="242">
        <f t="shared" si="15"/>
        <v>7543919.7435156498</v>
      </c>
      <c r="J191" s="230"/>
      <c r="K191" s="231"/>
    </row>
    <row r="192" spans="2:11" ht="18">
      <c r="B192" s="228"/>
      <c r="C192" s="232"/>
      <c r="D192" s="239">
        <v>104</v>
      </c>
      <c r="E192" s="240">
        <f t="shared" si="11"/>
        <v>48339</v>
      </c>
      <c r="F192" s="241">
        <f t="shared" si="12"/>
        <v>52065.884175501647</v>
      </c>
      <c r="G192" s="241">
        <f t="shared" si="13"/>
        <v>37584.807038698818</v>
      </c>
      <c r="H192" s="241">
        <f t="shared" si="14"/>
        <v>14481.077136802829</v>
      </c>
      <c r="I192" s="242">
        <f t="shared" si="15"/>
        <v>7529510.5920598637</v>
      </c>
      <c r="J192" s="230"/>
      <c r="K192" s="231"/>
    </row>
    <row r="193" spans="2:11" ht="18">
      <c r="B193" s="228"/>
      <c r="C193" s="232"/>
      <c r="D193" s="239">
        <v>105</v>
      </c>
      <c r="E193" s="240">
        <f t="shared" si="11"/>
        <v>48370</v>
      </c>
      <c r="F193" s="241">
        <f t="shared" si="12"/>
        <v>52065.884175501655</v>
      </c>
      <c r="G193" s="241">
        <f t="shared" si="13"/>
        <v>37512.522328657615</v>
      </c>
      <c r="H193" s="241">
        <f t="shared" si="14"/>
        <v>14553.36184684404</v>
      </c>
      <c r="I193" s="242">
        <f t="shared" si="15"/>
        <v>7515029.5149230612</v>
      </c>
      <c r="J193" s="230"/>
      <c r="K193" s="231"/>
    </row>
    <row r="194" spans="2:11" ht="18">
      <c r="B194" s="228"/>
      <c r="C194" s="232"/>
      <c r="D194" s="239">
        <v>106</v>
      </c>
      <c r="E194" s="240">
        <f t="shared" si="11"/>
        <v>48400</v>
      </c>
      <c r="F194" s="241">
        <f t="shared" si="12"/>
        <v>52065.884175501655</v>
      </c>
      <c r="G194" s="241">
        <f t="shared" si="13"/>
        <v>37439.876797438788</v>
      </c>
      <c r="H194" s="241">
        <f t="shared" si="14"/>
        <v>14626.007378062866</v>
      </c>
      <c r="I194" s="242">
        <f t="shared" si="15"/>
        <v>7500476.1530762175</v>
      </c>
      <c r="J194" s="230"/>
      <c r="K194" s="231"/>
    </row>
    <row r="195" spans="2:11" ht="18">
      <c r="B195" s="228"/>
      <c r="C195" s="232"/>
      <c r="D195" s="239">
        <v>107</v>
      </c>
      <c r="E195" s="240">
        <f t="shared" si="11"/>
        <v>48431</v>
      </c>
      <c r="F195" s="241">
        <f t="shared" si="12"/>
        <v>52065.88417550164</v>
      </c>
      <c r="G195" s="241">
        <f t="shared" si="13"/>
        <v>37366.868643943286</v>
      </c>
      <c r="H195" s="241">
        <f t="shared" si="14"/>
        <v>14699.015531558354</v>
      </c>
      <c r="I195" s="242">
        <f t="shared" si="15"/>
        <v>7485850.1456981543</v>
      </c>
      <c r="J195" s="230"/>
      <c r="K195" s="231"/>
    </row>
    <row r="196" spans="2:11" ht="18">
      <c r="B196" s="228"/>
      <c r="C196" s="232"/>
      <c r="D196" s="239">
        <v>108</v>
      </c>
      <c r="E196" s="240">
        <f t="shared" si="11"/>
        <v>48462</v>
      </c>
      <c r="F196" s="241">
        <f t="shared" si="12"/>
        <v>52065.884175501647</v>
      </c>
      <c r="G196" s="241">
        <f t="shared" si="13"/>
        <v>37293.49605808159</v>
      </c>
      <c r="H196" s="241">
        <f t="shared" si="14"/>
        <v>14772.388117420058</v>
      </c>
      <c r="I196" s="242">
        <f t="shared" si="15"/>
        <v>7471151.1301665958</v>
      </c>
      <c r="J196" s="230"/>
      <c r="K196" s="231"/>
    </row>
    <row r="197" spans="2:11" ht="18">
      <c r="B197" s="228"/>
      <c r="C197" s="232"/>
      <c r="D197" s="239">
        <v>109</v>
      </c>
      <c r="E197" s="240">
        <f t="shared" si="11"/>
        <v>48492</v>
      </c>
      <c r="F197" s="241">
        <f t="shared" si="12"/>
        <v>52065.884175501655</v>
      </c>
      <c r="G197" s="241">
        <f t="shared" si="13"/>
        <v>37219.757220728803</v>
      </c>
      <c r="H197" s="241">
        <f t="shared" si="14"/>
        <v>14846.126954772852</v>
      </c>
      <c r="I197" s="242">
        <f t="shared" si="15"/>
        <v>7456378.7420491753</v>
      </c>
      <c r="J197" s="230"/>
      <c r="K197" s="231"/>
    </row>
    <row r="198" spans="2:11" ht="18">
      <c r="B198" s="228"/>
      <c r="C198" s="232"/>
      <c r="D198" s="239">
        <v>110</v>
      </c>
      <c r="E198" s="240">
        <f t="shared" si="11"/>
        <v>48523</v>
      </c>
      <c r="F198" s="241">
        <f t="shared" si="12"/>
        <v>52065.884175501662</v>
      </c>
      <c r="G198" s="241">
        <f t="shared" si="13"/>
        <v>37145.650303679562</v>
      </c>
      <c r="H198" s="241">
        <f t="shared" si="14"/>
        <v>14920.2338718221</v>
      </c>
      <c r="I198" s="242">
        <f t="shared" si="15"/>
        <v>7441532.6150944028</v>
      </c>
      <c r="J198" s="230"/>
      <c r="K198" s="231"/>
    </row>
    <row r="199" spans="2:11" ht="18">
      <c r="B199" s="228"/>
      <c r="C199" s="232"/>
      <c r="D199" s="239">
        <v>111</v>
      </c>
      <c r="E199" s="240">
        <f t="shared" si="11"/>
        <v>48553</v>
      </c>
      <c r="F199" s="241">
        <f t="shared" si="12"/>
        <v>52065.884175501647</v>
      </c>
      <c r="G199" s="241">
        <f t="shared" si="13"/>
        <v>37071.173469602712</v>
      </c>
      <c r="H199" s="241">
        <f t="shared" si="14"/>
        <v>14994.710705898935</v>
      </c>
      <c r="I199" s="242">
        <f t="shared" si="15"/>
        <v>7426612.3812225806</v>
      </c>
      <c r="J199" s="230"/>
      <c r="K199" s="231"/>
    </row>
    <row r="200" spans="2:11" ht="18">
      <c r="B200" s="228"/>
      <c r="C200" s="232"/>
      <c r="D200" s="239">
        <v>112</v>
      </c>
      <c r="E200" s="240">
        <f t="shared" si="11"/>
        <v>48584</v>
      </c>
      <c r="F200" s="241">
        <f t="shared" si="12"/>
        <v>52065.884175501647</v>
      </c>
      <c r="G200" s="241">
        <f t="shared" si="13"/>
        <v>36996.32487199577</v>
      </c>
      <c r="H200" s="241">
        <f t="shared" si="14"/>
        <v>15069.559303505877</v>
      </c>
      <c r="I200" s="242">
        <f t="shared" si="15"/>
        <v>7411617.6705166819</v>
      </c>
      <c r="J200" s="230"/>
      <c r="K200" s="231"/>
    </row>
    <row r="201" spans="2:11" ht="18">
      <c r="B201" s="228"/>
      <c r="C201" s="232"/>
      <c r="D201" s="239">
        <v>113</v>
      </c>
      <c r="E201" s="240">
        <f t="shared" si="11"/>
        <v>48615</v>
      </c>
      <c r="F201" s="241">
        <f t="shared" si="12"/>
        <v>52065.884175501655</v>
      </c>
      <c r="G201" s="241">
        <f t="shared" si="13"/>
        <v>36921.102655139104</v>
      </c>
      <c r="H201" s="241">
        <f t="shared" si="14"/>
        <v>15144.781520362551</v>
      </c>
      <c r="I201" s="242">
        <f t="shared" si="15"/>
        <v>7396548.1112131756</v>
      </c>
      <c r="J201" s="230"/>
      <c r="K201" s="231"/>
    </row>
    <row r="202" spans="2:11" ht="18">
      <c r="B202" s="228"/>
      <c r="C202" s="232"/>
      <c r="D202" s="239">
        <v>114</v>
      </c>
      <c r="E202" s="240">
        <f t="shared" si="11"/>
        <v>48643</v>
      </c>
      <c r="F202" s="241">
        <f t="shared" si="12"/>
        <v>52065.884175501647</v>
      </c>
      <c r="G202" s="241">
        <f t="shared" si="13"/>
        <v>36845.50495404996</v>
      </c>
      <c r="H202" s="241">
        <f t="shared" si="14"/>
        <v>15220.379221451687</v>
      </c>
      <c r="I202" s="242">
        <f t="shared" si="15"/>
        <v>7381403.3296928126</v>
      </c>
      <c r="J202" s="230"/>
      <c r="K202" s="231"/>
    </row>
    <row r="203" spans="2:11" ht="18">
      <c r="B203" s="228"/>
      <c r="C203" s="232"/>
      <c r="D203" s="239">
        <v>115</v>
      </c>
      <c r="E203" s="240">
        <f t="shared" si="11"/>
        <v>48674</v>
      </c>
      <c r="F203" s="241">
        <f t="shared" si="12"/>
        <v>52065.884175501647</v>
      </c>
      <c r="G203" s="241">
        <f t="shared" si="13"/>
        <v>36769.529894436215</v>
      </c>
      <c r="H203" s="241">
        <f t="shared" si="14"/>
        <v>15296.354281065433</v>
      </c>
      <c r="I203" s="242">
        <f t="shared" si="15"/>
        <v>7366182.9504713612</v>
      </c>
      <c r="J203" s="230"/>
      <c r="K203" s="231"/>
    </row>
    <row r="204" spans="2:11" ht="18">
      <c r="B204" s="228"/>
      <c r="C204" s="232"/>
      <c r="D204" s="239">
        <v>116</v>
      </c>
      <c r="E204" s="240">
        <f t="shared" si="11"/>
        <v>48704</v>
      </c>
      <c r="F204" s="241">
        <f t="shared" si="12"/>
        <v>52065.884175501662</v>
      </c>
      <c r="G204" s="241">
        <f t="shared" si="13"/>
        <v>36693.175592649895</v>
      </c>
      <c r="H204" s="241">
        <f t="shared" si="14"/>
        <v>15372.708582851767</v>
      </c>
      <c r="I204" s="242">
        <f t="shared" si="15"/>
        <v>7350886.5961902961</v>
      </c>
      <c r="J204" s="230"/>
      <c r="K204" s="231"/>
    </row>
    <row r="205" spans="2:11" ht="18">
      <c r="B205" s="228"/>
      <c r="C205" s="232"/>
      <c r="D205" s="239">
        <v>117</v>
      </c>
      <c r="E205" s="240">
        <f t="shared" si="11"/>
        <v>48735</v>
      </c>
      <c r="F205" s="241">
        <f t="shared" si="12"/>
        <v>52065.884175501655</v>
      </c>
      <c r="G205" s="241">
        <f t="shared" si="13"/>
        <v>36616.440155640492</v>
      </c>
      <c r="H205" s="241">
        <f t="shared" si="14"/>
        <v>15449.444019861163</v>
      </c>
      <c r="I205" s="242">
        <f t="shared" si="15"/>
        <v>7335513.8876074441</v>
      </c>
      <c r="J205" s="230"/>
      <c r="K205" s="231"/>
    </row>
    <row r="206" spans="2:11" ht="18">
      <c r="B206" s="228"/>
      <c r="C206" s="232"/>
      <c r="D206" s="239">
        <v>118</v>
      </c>
      <c r="E206" s="240">
        <f t="shared" si="11"/>
        <v>48765</v>
      </c>
      <c r="F206" s="241">
        <f t="shared" si="12"/>
        <v>52065.884175501655</v>
      </c>
      <c r="G206" s="241">
        <f t="shared" si="13"/>
        <v>36539.321680908019</v>
      </c>
      <c r="H206" s="241">
        <f t="shared" si="14"/>
        <v>15526.562494593636</v>
      </c>
      <c r="I206" s="242">
        <f t="shared" si="15"/>
        <v>7320064.4435875826</v>
      </c>
      <c r="J206" s="230"/>
      <c r="K206" s="231"/>
    </row>
    <row r="207" spans="2:11" ht="18">
      <c r="B207" s="228"/>
      <c r="C207" s="232"/>
      <c r="D207" s="239">
        <v>119</v>
      </c>
      <c r="E207" s="240">
        <f t="shared" si="11"/>
        <v>48796</v>
      </c>
      <c r="F207" s="241">
        <f t="shared" si="12"/>
        <v>52065.884175501655</v>
      </c>
      <c r="G207" s="241">
        <f t="shared" si="13"/>
        <v>36461.818256455837</v>
      </c>
      <c r="H207" s="241">
        <f t="shared" si="14"/>
        <v>15604.065919045817</v>
      </c>
      <c r="I207" s="242">
        <f t="shared" si="15"/>
        <v>7304537.8810929889</v>
      </c>
      <c r="J207" s="230"/>
      <c r="K207" s="231"/>
    </row>
    <row r="208" spans="2:11" ht="18">
      <c r="B208" s="228"/>
      <c r="C208" s="232"/>
      <c r="D208" s="239">
        <v>120</v>
      </c>
      <c r="E208" s="240">
        <f t="shared" si="11"/>
        <v>48827</v>
      </c>
      <c r="F208" s="241">
        <f t="shared" si="12"/>
        <v>52065.884175501655</v>
      </c>
      <c r="G208" s="241">
        <f t="shared" si="13"/>
        <v>36383.927960743269</v>
      </c>
      <c r="H208" s="241">
        <f t="shared" si="14"/>
        <v>15681.956214758386</v>
      </c>
      <c r="I208" s="242">
        <f t="shared" si="15"/>
        <v>7288933.8151739435</v>
      </c>
      <c r="J208" s="230"/>
      <c r="K208" s="231"/>
    </row>
    <row r="209" spans="2:11" ht="18">
      <c r="B209" s="228"/>
      <c r="C209" s="232"/>
      <c r="D209" s="239">
        <v>121</v>
      </c>
      <c r="E209" s="240">
        <f t="shared" si="11"/>
        <v>48857</v>
      </c>
      <c r="F209" s="241">
        <f t="shared" si="12"/>
        <v>52065.884175501662</v>
      </c>
      <c r="G209" s="241">
        <f t="shared" si="13"/>
        <v>36305.648862637936</v>
      </c>
      <c r="H209" s="241">
        <f t="shared" si="14"/>
        <v>15760.235312863726</v>
      </c>
      <c r="I209" s="242">
        <f t="shared" si="15"/>
        <v>7273251.858959185</v>
      </c>
      <c r="J209" s="230"/>
      <c r="K209" s="231"/>
    </row>
    <row r="210" spans="2:11" ht="18">
      <c r="B210" s="228"/>
      <c r="C210" s="232"/>
      <c r="D210" s="239">
        <v>122</v>
      </c>
      <c r="E210" s="240">
        <f t="shared" si="11"/>
        <v>48888</v>
      </c>
      <c r="F210" s="241">
        <f t="shared" si="12"/>
        <v>52065.884175501655</v>
      </c>
      <c r="G210" s="241">
        <f t="shared" si="13"/>
        <v>36226.979021367886</v>
      </c>
      <c r="H210" s="241">
        <f t="shared" si="14"/>
        <v>15838.905154133769</v>
      </c>
      <c r="I210" s="242">
        <f t="shared" si="15"/>
        <v>7257491.6236463208</v>
      </c>
      <c r="J210" s="230"/>
      <c r="K210" s="231"/>
    </row>
    <row r="211" spans="2:11" ht="18">
      <c r="B211" s="228"/>
      <c r="C211" s="232"/>
      <c r="D211" s="239">
        <v>123</v>
      </c>
      <c r="E211" s="240">
        <f t="shared" si="11"/>
        <v>48918</v>
      </c>
      <c r="F211" s="241">
        <f t="shared" si="12"/>
        <v>52065.88417550164</v>
      </c>
      <c r="G211" s="241">
        <f t="shared" si="13"/>
        <v>36147.916486473499</v>
      </c>
      <c r="H211" s="241">
        <f t="shared" si="14"/>
        <v>15917.967689028141</v>
      </c>
      <c r="I211" s="242">
        <f t="shared" si="15"/>
        <v>7241652.7184921866</v>
      </c>
      <c r="J211" s="230"/>
      <c r="K211" s="231"/>
    </row>
    <row r="212" spans="2:11" ht="18">
      <c r="B212" s="228"/>
      <c r="C212" s="232"/>
      <c r="D212" s="239">
        <v>124</v>
      </c>
      <c r="E212" s="240">
        <f t="shared" si="11"/>
        <v>48949</v>
      </c>
      <c r="F212" s="241">
        <f t="shared" si="12"/>
        <v>52065.884175501655</v>
      </c>
      <c r="G212" s="241">
        <f t="shared" si="13"/>
        <v>36068.459297759102</v>
      </c>
      <c r="H212" s="241">
        <f t="shared" si="14"/>
        <v>15997.424877742553</v>
      </c>
      <c r="I212" s="242">
        <f t="shared" si="15"/>
        <v>7225734.7508031586</v>
      </c>
      <c r="J212" s="230"/>
      <c r="K212" s="231"/>
    </row>
    <row r="213" spans="2:11" ht="18">
      <c r="B213" s="228"/>
      <c r="C213" s="232"/>
      <c r="D213" s="239">
        <v>125</v>
      </c>
      <c r="E213" s="240">
        <f t="shared" si="11"/>
        <v>48980</v>
      </c>
      <c r="F213" s="241">
        <f t="shared" si="12"/>
        <v>52065.884175501655</v>
      </c>
      <c r="G213" s="241">
        <f t="shared" si="13"/>
        <v>35988.60548524437</v>
      </c>
      <c r="H213" s="241">
        <f t="shared" si="14"/>
        <v>16077.278690257284</v>
      </c>
      <c r="I213" s="242">
        <f t="shared" si="15"/>
        <v>7209737.3259254163</v>
      </c>
      <c r="J213" s="230"/>
      <c r="K213" s="231"/>
    </row>
    <row r="214" spans="2:11" ht="18">
      <c r="B214" s="228"/>
      <c r="C214" s="232"/>
      <c r="D214" s="239">
        <v>126</v>
      </c>
      <c r="E214" s="240">
        <f t="shared" si="11"/>
        <v>49008</v>
      </c>
      <c r="F214" s="241">
        <f t="shared" si="12"/>
        <v>52065.884175501647</v>
      </c>
      <c r="G214" s="241">
        <f t="shared" si="13"/>
        <v>35908.353069115503</v>
      </c>
      <c r="H214" s="241">
        <f t="shared" si="14"/>
        <v>16157.531106386145</v>
      </c>
      <c r="I214" s="242">
        <f t="shared" si="15"/>
        <v>7193660.0472351592</v>
      </c>
      <c r="J214" s="230"/>
      <c r="K214" s="231"/>
    </row>
    <row r="215" spans="2:11" ht="18">
      <c r="B215" s="228"/>
      <c r="C215" s="232"/>
      <c r="D215" s="239">
        <v>127</v>
      </c>
      <c r="E215" s="240">
        <f t="shared" si="11"/>
        <v>49039</v>
      </c>
      <c r="F215" s="241">
        <f t="shared" si="12"/>
        <v>52065.884175501662</v>
      </c>
      <c r="G215" s="241">
        <f t="shared" si="13"/>
        <v>35827.700059676128</v>
      </c>
      <c r="H215" s="241">
        <f t="shared" si="14"/>
        <v>16238.184115825534</v>
      </c>
      <c r="I215" s="242">
        <f t="shared" si="15"/>
        <v>7177502.5161287729</v>
      </c>
      <c r="J215" s="230"/>
      <c r="K215" s="231"/>
    </row>
    <row r="216" spans="2:11" ht="18">
      <c r="B216" s="228"/>
      <c r="C216" s="232"/>
      <c r="D216" s="239">
        <v>128</v>
      </c>
      <c r="E216" s="240">
        <f t="shared" si="11"/>
        <v>49069</v>
      </c>
      <c r="F216" s="241">
        <f t="shared" si="12"/>
        <v>52065.884175501662</v>
      </c>
      <c r="G216" s="241">
        <f t="shared" si="13"/>
        <v>35746.644457297967</v>
      </c>
      <c r="H216" s="241">
        <f t="shared" si="14"/>
        <v>16319.239718203695</v>
      </c>
      <c r="I216" s="242">
        <f t="shared" si="15"/>
        <v>7161264.3320129476</v>
      </c>
      <c r="J216" s="230"/>
      <c r="K216" s="231"/>
    </row>
    <row r="217" spans="2:11" ht="18">
      <c r="B217" s="228"/>
      <c r="C217" s="232"/>
      <c r="D217" s="239">
        <v>129</v>
      </c>
      <c r="E217" s="240">
        <f t="shared" si="11"/>
        <v>49100</v>
      </c>
      <c r="F217" s="241">
        <f t="shared" si="12"/>
        <v>52065.884175501669</v>
      </c>
      <c r="G217" s="241">
        <f t="shared" si="13"/>
        <v>35665.184252371269</v>
      </c>
      <c r="H217" s="241">
        <f t="shared" si="14"/>
        <v>16400.6999231304</v>
      </c>
      <c r="I217" s="242">
        <f t="shared" si="15"/>
        <v>7144945.0922947442</v>
      </c>
      <c r="J217" s="230"/>
      <c r="K217" s="231"/>
    </row>
    <row r="218" spans="2:11" ht="18">
      <c r="B218" s="228"/>
      <c r="C218" s="232"/>
      <c r="D218" s="239">
        <v>130</v>
      </c>
      <c r="E218" s="240">
        <f t="shared" si="11"/>
        <v>49130</v>
      </c>
      <c r="F218" s="241">
        <f t="shared" si="12"/>
        <v>52065.884175501655</v>
      </c>
      <c r="G218" s="241">
        <f t="shared" si="13"/>
        <v>35583.317425254972</v>
      </c>
      <c r="H218" s="241">
        <f t="shared" si="14"/>
        <v>16482.566750246682</v>
      </c>
      <c r="I218" s="242">
        <f t="shared" si="15"/>
        <v>7128544.3923716135</v>
      </c>
      <c r="J218" s="230"/>
      <c r="K218" s="231"/>
    </row>
    <row r="219" spans="2:11" ht="18">
      <c r="B219" s="228"/>
      <c r="C219" s="232"/>
      <c r="D219" s="239">
        <v>131</v>
      </c>
      <c r="E219" s="240">
        <f t="shared" ref="E219:E282" si="16">DATE(YEAR($E218),MONTH($E218)+1,DAY($E218))</f>
        <v>49161</v>
      </c>
      <c r="F219" s="241">
        <f t="shared" ref="F219:F282" si="17">IFERROR(((I219))*($H$86/12)/(1-(1+($H$86/12))^-($E$26-D218)),"")</f>
        <v>52065.884175501662</v>
      </c>
      <c r="G219" s="241">
        <f t="shared" ref="G219:G282" si="18">IFERROR((IF(I219&gt;0,(I219*($H$86/12)),"")),"")</f>
        <v>35501.041946226658</v>
      </c>
      <c r="H219" s="241">
        <f t="shared" ref="H219:H282" si="19">IFERROR((F219-G219),"")</f>
        <v>16564.842229275004</v>
      </c>
      <c r="I219" s="242">
        <f t="shared" ref="I219:I282" si="20">IFERROR((IF(D219&gt;$E$26,0,I218-H218)),"")</f>
        <v>7112061.8256213665</v>
      </c>
      <c r="J219" s="230"/>
      <c r="K219" s="231"/>
    </row>
    <row r="220" spans="2:11" ht="18">
      <c r="B220" s="228"/>
      <c r="C220" s="232"/>
      <c r="D220" s="239">
        <v>132</v>
      </c>
      <c r="E220" s="240">
        <f t="shared" si="16"/>
        <v>49192</v>
      </c>
      <c r="F220" s="241">
        <f t="shared" si="17"/>
        <v>52065.884175501662</v>
      </c>
      <c r="G220" s="241">
        <f t="shared" si="18"/>
        <v>35418.355775432188</v>
      </c>
      <c r="H220" s="241">
        <f t="shared" si="19"/>
        <v>16647.528400069474</v>
      </c>
      <c r="I220" s="242">
        <f t="shared" si="20"/>
        <v>7095496.9833920915</v>
      </c>
      <c r="J220" s="230"/>
      <c r="K220" s="231"/>
    </row>
    <row r="221" spans="2:11" ht="18">
      <c r="B221" s="228"/>
      <c r="C221" s="232"/>
      <c r="D221" s="239">
        <v>133</v>
      </c>
      <c r="E221" s="240">
        <f t="shared" si="16"/>
        <v>49222</v>
      </c>
      <c r="F221" s="241">
        <f t="shared" si="17"/>
        <v>52065.884175501662</v>
      </c>
      <c r="G221" s="241">
        <f t="shared" si="18"/>
        <v>35335.25686283518</v>
      </c>
      <c r="H221" s="241">
        <f t="shared" si="19"/>
        <v>16730.627312666482</v>
      </c>
      <c r="I221" s="242">
        <f t="shared" si="20"/>
        <v>7078849.4549920224</v>
      </c>
      <c r="J221" s="230"/>
      <c r="K221" s="231"/>
    </row>
    <row r="222" spans="2:11" ht="18">
      <c r="B222" s="228"/>
      <c r="C222" s="232"/>
      <c r="D222" s="239">
        <v>134</v>
      </c>
      <c r="E222" s="240">
        <f t="shared" si="16"/>
        <v>49253</v>
      </c>
      <c r="F222" s="241">
        <f t="shared" si="17"/>
        <v>52065.884175501662</v>
      </c>
      <c r="G222" s="241">
        <f t="shared" si="18"/>
        <v>35251.743148166119</v>
      </c>
      <c r="H222" s="241">
        <f t="shared" si="19"/>
        <v>16814.141027335543</v>
      </c>
      <c r="I222" s="242">
        <f t="shared" si="20"/>
        <v>7062118.8276793556</v>
      </c>
      <c r="J222" s="230"/>
      <c r="K222" s="231"/>
    </row>
    <row r="223" spans="2:11" ht="18">
      <c r="B223" s="228"/>
      <c r="C223" s="232"/>
      <c r="D223" s="239">
        <v>135</v>
      </c>
      <c r="E223" s="240">
        <f t="shared" si="16"/>
        <v>49283</v>
      </c>
      <c r="F223" s="241">
        <f t="shared" si="17"/>
        <v>52065.884175501655</v>
      </c>
      <c r="G223" s="241">
        <f t="shared" si="18"/>
        <v>35167.812560871331</v>
      </c>
      <c r="H223" s="241">
        <f t="shared" si="19"/>
        <v>16898.071614630324</v>
      </c>
      <c r="I223" s="242">
        <f t="shared" si="20"/>
        <v>7045304.6866520196</v>
      </c>
      <c r="J223" s="230"/>
      <c r="K223" s="231"/>
    </row>
    <row r="224" spans="2:11" ht="18">
      <c r="B224" s="228"/>
      <c r="C224" s="232"/>
      <c r="D224" s="239">
        <v>136</v>
      </c>
      <c r="E224" s="240">
        <f t="shared" si="16"/>
        <v>49314</v>
      </c>
      <c r="F224" s="241">
        <f t="shared" si="17"/>
        <v>52065.884175501662</v>
      </c>
      <c r="G224" s="241">
        <f t="shared" si="18"/>
        <v>35083.463020061638</v>
      </c>
      <c r="H224" s="241">
        <f t="shared" si="19"/>
        <v>16982.421155440024</v>
      </c>
      <c r="I224" s="242">
        <f t="shared" si="20"/>
        <v>7028406.6150373891</v>
      </c>
      <c r="J224" s="230"/>
      <c r="K224" s="231"/>
    </row>
    <row r="225" spans="2:11" ht="18">
      <c r="B225" s="228"/>
      <c r="C225" s="232"/>
      <c r="D225" s="239">
        <v>137</v>
      </c>
      <c r="E225" s="240">
        <f t="shared" si="16"/>
        <v>49345</v>
      </c>
      <c r="F225" s="241">
        <f t="shared" si="17"/>
        <v>52065.884175501662</v>
      </c>
      <c r="G225" s="241">
        <f t="shared" si="18"/>
        <v>34998.692434460732</v>
      </c>
      <c r="H225" s="241">
        <f t="shared" si="19"/>
        <v>17067.19174104093</v>
      </c>
      <c r="I225" s="242">
        <f t="shared" si="20"/>
        <v>7011424.1938819494</v>
      </c>
      <c r="J225" s="230"/>
      <c r="K225" s="231"/>
    </row>
    <row r="226" spans="2:11" ht="18">
      <c r="B226" s="228"/>
      <c r="C226" s="232"/>
      <c r="D226" s="239">
        <v>138</v>
      </c>
      <c r="E226" s="240">
        <f t="shared" si="16"/>
        <v>49373</v>
      </c>
      <c r="F226" s="241">
        <f t="shared" si="17"/>
        <v>52065.884175501662</v>
      </c>
      <c r="G226" s="241">
        <f t="shared" si="18"/>
        <v>34913.498702353369</v>
      </c>
      <c r="H226" s="241">
        <f t="shared" si="19"/>
        <v>17152.385473148293</v>
      </c>
      <c r="I226" s="242">
        <f t="shared" si="20"/>
        <v>6994357.0021409085</v>
      </c>
      <c r="J226" s="230"/>
      <c r="K226" s="231"/>
    </row>
    <row r="227" spans="2:11" ht="18">
      <c r="B227" s="228"/>
      <c r="C227" s="232"/>
      <c r="D227" s="239">
        <v>139</v>
      </c>
      <c r="E227" s="240">
        <f t="shared" si="16"/>
        <v>49404</v>
      </c>
      <c r="F227" s="241">
        <f t="shared" si="17"/>
        <v>52065.884175501662</v>
      </c>
      <c r="G227" s="241">
        <f t="shared" si="18"/>
        <v>34827.879711533242</v>
      </c>
      <c r="H227" s="241">
        <f t="shared" si="19"/>
        <v>17238.00446396842</v>
      </c>
      <c r="I227" s="242">
        <f t="shared" si="20"/>
        <v>6977204.6166677605</v>
      </c>
      <c r="J227" s="230"/>
      <c r="K227" s="231"/>
    </row>
    <row r="228" spans="2:11" ht="18">
      <c r="B228" s="228"/>
      <c r="C228" s="232"/>
      <c r="D228" s="239">
        <v>140</v>
      </c>
      <c r="E228" s="240">
        <f t="shared" si="16"/>
        <v>49434</v>
      </c>
      <c r="F228" s="241">
        <f t="shared" si="17"/>
        <v>52065.884175501662</v>
      </c>
      <c r="G228" s="241">
        <f t="shared" si="18"/>
        <v>34741.833339250596</v>
      </c>
      <c r="H228" s="241">
        <f t="shared" si="19"/>
        <v>17324.050836251066</v>
      </c>
      <c r="I228" s="242">
        <f t="shared" si="20"/>
        <v>6959966.6122037917</v>
      </c>
      <c r="J228" s="230"/>
      <c r="K228" s="231"/>
    </row>
    <row r="229" spans="2:11" ht="18">
      <c r="B229" s="228"/>
      <c r="C229" s="232"/>
      <c r="D229" s="239">
        <v>141</v>
      </c>
      <c r="E229" s="240">
        <f t="shared" si="16"/>
        <v>49465</v>
      </c>
      <c r="F229" s="241">
        <f t="shared" si="17"/>
        <v>52065.884175501655</v>
      </c>
      <c r="G229" s="241">
        <f t="shared" si="18"/>
        <v>34655.357452159638</v>
      </c>
      <c r="H229" s="241">
        <f t="shared" si="19"/>
        <v>17410.526723342016</v>
      </c>
      <c r="I229" s="242">
        <f t="shared" si="20"/>
        <v>6942642.5613675406</v>
      </c>
      <c r="J229" s="230"/>
      <c r="K229" s="231"/>
    </row>
    <row r="230" spans="2:11" ht="18">
      <c r="B230" s="228"/>
      <c r="C230" s="232"/>
      <c r="D230" s="239">
        <v>142</v>
      </c>
      <c r="E230" s="240">
        <f t="shared" si="16"/>
        <v>49495</v>
      </c>
      <c r="F230" s="241">
        <f t="shared" si="17"/>
        <v>52065.884175501669</v>
      </c>
      <c r="G230" s="241">
        <f t="shared" si="18"/>
        <v>34568.449906265625</v>
      </c>
      <c r="H230" s="241">
        <f t="shared" si="19"/>
        <v>17497.434269236044</v>
      </c>
      <c r="I230" s="242">
        <f t="shared" si="20"/>
        <v>6925232.0346441986</v>
      </c>
      <c r="J230" s="230"/>
      <c r="K230" s="231"/>
    </row>
    <row r="231" spans="2:11" ht="18">
      <c r="B231" s="228"/>
      <c r="C231" s="232"/>
      <c r="D231" s="239">
        <v>143</v>
      </c>
      <c r="E231" s="240">
        <f t="shared" si="16"/>
        <v>49526</v>
      </c>
      <c r="F231" s="241">
        <f t="shared" si="17"/>
        <v>52065.884175501662</v>
      </c>
      <c r="G231" s="241">
        <f t="shared" si="18"/>
        <v>34481.108546871685</v>
      </c>
      <c r="H231" s="241">
        <f t="shared" si="19"/>
        <v>17584.775628629977</v>
      </c>
      <c r="I231" s="242">
        <f t="shared" si="20"/>
        <v>6907734.6003749622</v>
      </c>
      <c r="J231" s="230"/>
      <c r="K231" s="231"/>
    </row>
    <row r="232" spans="2:11" ht="18">
      <c r="B232" s="228"/>
      <c r="C232" s="232"/>
      <c r="D232" s="239">
        <v>144</v>
      </c>
      <c r="E232" s="240">
        <f t="shared" si="16"/>
        <v>49557</v>
      </c>
      <c r="F232" s="241">
        <f t="shared" si="17"/>
        <v>52065.884175501669</v>
      </c>
      <c r="G232" s="241">
        <f t="shared" si="18"/>
        <v>34393.331208525444</v>
      </c>
      <c r="H232" s="241">
        <f t="shared" si="19"/>
        <v>17672.552966976225</v>
      </c>
      <c r="I232" s="242">
        <f t="shared" si="20"/>
        <v>6890149.8247463321</v>
      </c>
      <c r="J232" s="230"/>
      <c r="K232" s="231"/>
    </row>
    <row r="233" spans="2:11" ht="18">
      <c r="B233" s="228"/>
      <c r="C233" s="232"/>
      <c r="D233" s="239">
        <v>145</v>
      </c>
      <c r="E233" s="240">
        <f t="shared" si="16"/>
        <v>49587</v>
      </c>
      <c r="F233" s="241">
        <f t="shared" si="17"/>
        <v>52065.884175501662</v>
      </c>
      <c r="G233" s="241">
        <f t="shared" si="18"/>
        <v>34305.115714965286</v>
      </c>
      <c r="H233" s="241">
        <f t="shared" si="19"/>
        <v>17760.768460536376</v>
      </c>
      <c r="I233" s="242">
        <f t="shared" si="20"/>
        <v>6872477.2717793556</v>
      </c>
      <c r="J233" s="230"/>
      <c r="K233" s="231"/>
    </row>
    <row r="234" spans="2:11" ht="18">
      <c r="B234" s="228"/>
      <c r="C234" s="232"/>
      <c r="D234" s="239">
        <v>146</v>
      </c>
      <c r="E234" s="240">
        <f t="shared" si="16"/>
        <v>49618</v>
      </c>
      <c r="F234" s="241">
        <f t="shared" si="17"/>
        <v>52065.884175501655</v>
      </c>
      <c r="G234" s="241">
        <f t="shared" si="18"/>
        <v>34216.459879066439</v>
      </c>
      <c r="H234" s="241">
        <f t="shared" si="19"/>
        <v>17849.424296435216</v>
      </c>
      <c r="I234" s="242">
        <f t="shared" si="20"/>
        <v>6854716.5033188192</v>
      </c>
      <c r="J234" s="230"/>
      <c r="K234" s="231"/>
    </row>
    <row r="235" spans="2:11" ht="18">
      <c r="B235" s="228"/>
      <c r="C235" s="232"/>
      <c r="D235" s="239">
        <v>147</v>
      </c>
      <c r="E235" s="240">
        <f t="shared" si="16"/>
        <v>49648</v>
      </c>
      <c r="F235" s="241">
        <f t="shared" si="17"/>
        <v>52065.884175501662</v>
      </c>
      <c r="G235" s="241">
        <f t="shared" si="18"/>
        <v>34127.361502786734</v>
      </c>
      <c r="H235" s="241">
        <f t="shared" si="19"/>
        <v>17938.522672714927</v>
      </c>
      <c r="I235" s="242">
        <f t="shared" si="20"/>
        <v>6836867.0790223842</v>
      </c>
      <c r="J235" s="230"/>
      <c r="K235" s="231"/>
    </row>
    <row r="236" spans="2:11" ht="18">
      <c r="B236" s="228"/>
      <c r="C236" s="232"/>
      <c r="D236" s="239">
        <v>148</v>
      </c>
      <c r="E236" s="240">
        <f t="shared" si="16"/>
        <v>49679</v>
      </c>
      <c r="F236" s="241">
        <f t="shared" si="17"/>
        <v>52065.884175501669</v>
      </c>
      <c r="G236" s="241">
        <f t="shared" si="18"/>
        <v>34037.818377112104</v>
      </c>
      <c r="H236" s="241">
        <f t="shared" si="19"/>
        <v>18028.065798389565</v>
      </c>
      <c r="I236" s="242">
        <f t="shared" si="20"/>
        <v>6818928.5563496696</v>
      </c>
      <c r="J236" s="230"/>
      <c r="K236" s="231"/>
    </row>
    <row r="237" spans="2:11" ht="18">
      <c r="B237" s="228"/>
      <c r="C237" s="232"/>
      <c r="D237" s="239">
        <v>149</v>
      </c>
      <c r="E237" s="240">
        <f t="shared" si="16"/>
        <v>49710</v>
      </c>
      <c r="F237" s="241">
        <f t="shared" si="17"/>
        <v>52065.884175501662</v>
      </c>
      <c r="G237" s="241">
        <f t="shared" si="18"/>
        <v>33947.828282001807</v>
      </c>
      <c r="H237" s="241">
        <f t="shared" si="19"/>
        <v>18118.055893499855</v>
      </c>
      <c r="I237" s="242">
        <f t="shared" si="20"/>
        <v>6800900.4905512799</v>
      </c>
      <c r="J237" s="230"/>
      <c r="K237" s="231"/>
    </row>
    <row r="238" spans="2:11" ht="18">
      <c r="B238" s="228"/>
      <c r="C238" s="232"/>
      <c r="D238" s="239">
        <v>150</v>
      </c>
      <c r="E238" s="240">
        <f t="shared" si="16"/>
        <v>49739</v>
      </c>
      <c r="F238" s="241">
        <f t="shared" si="17"/>
        <v>52065.884175501662</v>
      </c>
      <c r="G238" s="241">
        <f t="shared" si="18"/>
        <v>33857.388986333419</v>
      </c>
      <c r="H238" s="241">
        <f t="shared" si="19"/>
        <v>18208.495189168243</v>
      </c>
      <c r="I238" s="242">
        <f t="shared" si="20"/>
        <v>6782782.4346577805</v>
      </c>
      <c r="J238" s="230"/>
      <c r="K238" s="231"/>
    </row>
    <row r="239" spans="2:11" ht="18">
      <c r="B239" s="228"/>
      <c r="C239" s="232"/>
      <c r="D239" s="239">
        <v>151</v>
      </c>
      <c r="E239" s="240">
        <f t="shared" si="16"/>
        <v>49770</v>
      </c>
      <c r="F239" s="241">
        <f t="shared" si="17"/>
        <v>52065.884175501677</v>
      </c>
      <c r="G239" s="241">
        <f t="shared" si="18"/>
        <v>33766.498247847492</v>
      </c>
      <c r="H239" s="241">
        <f t="shared" si="19"/>
        <v>18299.385927654184</v>
      </c>
      <c r="I239" s="242">
        <f t="shared" si="20"/>
        <v>6764573.939468612</v>
      </c>
      <c r="J239" s="230"/>
      <c r="K239" s="231"/>
    </row>
    <row r="240" spans="2:11" ht="18">
      <c r="B240" s="228"/>
      <c r="C240" s="232"/>
      <c r="D240" s="239">
        <v>152</v>
      </c>
      <c r="E240" s="240">
        <f t="shared" si="16"/>
        <v>49800</v>
      </c>
      <c r="F240" s="241">
        <f t="shared" si="17"/>
        <v>52065.884175501669</v>
      </c>
      <c r="G240" s="241">
        <f t="shared" si="18"/>
        <v>33675.153813091951</v>
      </c>
      <c r="H240" s="241">
        <f t="shared" si="19"/>
        <v>18390.730362409719</v>
      </c>
      <c r="I240" s="242">
        <f t="shared" si="20"/>
        <v>6746274.5535409581</v>
      </c>
      <c r="J240" s="230"/>
      <c r="K240" s="231"/>
    </row>
    <row r="241" spans="2:11" ht="18">
      <c r="B241" s="228"/>
      <c r="C241" s="232"/>
      <c r="D241" s="239">
        <v>153</v>
      </c>
      <c r="E241" s="240">
        <f t="shared" si="16"/>
        <v>49831</v>
      </c>
      <c r="F241" s="241">
        <f t="shared" si="17"/>
        <v>52065.884175501662</v>
      </c>
      <c r="G241" s="241">
        <f t="shared" si="18"/>
        <v>33583.353417366256</v>
      </c>
      <c r="H241" s="241">
        <f t="shared" si="19"/>
        <v>18482.530758135406</v>
      </c>
      <c r="I241" s="242">
        <f t="shared" si="20"/>
        <v>6727883.8231785484</v>
      </c>
      <c r="J241" s="230"/>
      <c r="K241" s="231"/>
    </row>
    <row r="242" spans="2:11" ht="18">
      <c r="B242" s="228"/>
      <c r="C242" s="232"/>
      <c r="D242" s="239">
        <v>154</v>
      </c>
      <c r="E242" s="240">
        <f t="shared" si="16"/>
        <v>49861</v>
      </c>
      <c r="F242" s="241">
        <f t="shared" si="17"/>
        <v>52065.884175501677</v>
      </c>
      <c r="G242" s="241">
        <f t="shared" si="18"/>
        <v>33491.094784665234</v>
      </c>
      <c r="H242" s="241">
        <f t="shared" si="19"/>
        <v>18574.789390836442</v>
      </c>
      <c r="I242" s="242">
        <f t="shared" si="20"/>
        <v>6709401.2924204133</v>
      </c>
      <c r="J242" s="230"/>
      <c r="K242" s="231"/>
    </row>
    <row r="243" spans="2:11" ht="18">
      <c r="B243" s="228"/>
      <c r="C243" s="232"/>
      <c r="D243" s="239">
        <v>155</v>
      </c>
      <c r="E243" s="240">
        <f t="shared" si="16"/>
        <v>49892</v>
      </c>
      <c r="F243" s="241">
        <f t="shared" si="17"/>
        <v>52065.884175501669</v>
      </c>
      <c r="G243" s="241">
        <f t="shared" si="18"/>
        <v>33398.375627622634</v>
      </c>
      <c r="H243" s="241">
        <f t="shared" si="19"/>
        <v>18667.508547879035</v>
      </c>
      <c r="I243" s="242">
        <f t="shared" si="20"/>
        <v>6690826.5030295765</v>
      </c>
      <c r="J243" s="230"/>
      <c r="K243" s="231"/>
    </row>
    <row r="244" spans="2:11" ht="18">
      <c r="B244" s="228"/>
      <c r="C244" s="232"/>
      <c r="D244" s="239">
        <v>156</v>
      </c>
      <c r="E244" s="240">
        <f t="shared" si="16"/>
        <v>49923</v>
      </c>
      <c r="F244" s="241">
        <f t="shared" si="17"/>
        <v>52065.884175501684</v>
      </c>
      <c r="G244" s="241">
        <f t="shared" si="18"/>
        <v>33305.193647454478</v>
      </c>
      <c r="H244" s="241">
        <f t="shared" si="19"/>
        <v>18760.690528047206</v>
      </c>
      <c r="I244" s="242">
        <f t="shared" si="20"/>
        <v>6672158.9944816977</v>
      </c>
      <c r="J244" s="230"/>
      <c r="K244" s="231"/>
    </row>
    <row r="245" spans="2:11" ht="18">
      <c r="B245" s="228"/>
      <c r="C245" s="232"/>
      <c r="D245" s="239">
        <v>157</v>
      </c>
      <c r="E245" s="240">
        <f t="shared" si="16"/>
        <v>49953</v>
      </c>
      <c r="F245" s="241">
        <f t="shared" si="17"/>
        <v>52065.884175501677</v>
      </c>
      <c r="G245" s="241">
        <f t="shared" si="18"/>
        <v>33211.546533901972</v>
      </c>
      <c r="H245" s="241">
        <f t="shared" si="19"/>
        <v>18854.337641599705</v>
      </c>
      <c r="I245" s="242">
        <f t="shared" si="20"/>
        <v>6653398.3039536504</v>
      </c>
      <c r="J245" s="230"/>
      <c r="K245" s="231"/>
    </row>
    <row r="246" spans="2:11" ht="18">
      <c r="B246" s="228"/>
      <c r="C246" s="232"/>
      <c r="D246" s="239">
        <v>158</v>
      </c>
      <c r="E246" s="240">
        <f t="shared" si="16"/>
        <v>49984</v>
      </c>
      <c r="F246" s="241">
        <f t="shared" si="17"/>
        <v>52065.884175501684</v>
      </c>
      <c r="G246" s="241">
        <f t="shared" si="18"/>
        <v>33117.431965174321</v>
      </c>
      <c r="H246" s="241">
        <f t="shared" si="19"/>
        <v>18948.452210327363</v>
      </c>
      <c r="I246" s="242">
        <f t="shared" si="20"/>
        <v>6634543.9663120508</v>
      </c>
      <c r="J246" s="230"/>
      <c r="K246" s="231"/>
    </row>
    <row r="247" spans="2:11" ht="18">
      <c r="B247" s="228"/>
      <c r="C247" s="232"/>
      <c r="D247" s="239">
        <v>159</v>
      </c>
      <c r="E247" s="240">
        <f t="shared" si="16"/>
        <v>50014</v>
      </c>
      <c r="F247" s="241">
        <f t="shared" si="17"/>
        <v>52065.884175501677</v>
      </c>
      <c r="G247" s="241">
        <f t="shared" si="18"/>
        <v>33022.847607891104</v>
      </c>
      <c r="H247" s="241">
        <f t="shared" si="19"/>
        <v>19043.036567610572</v>
      </c>
      <c r="I247" s="242">
        <f t="shared" si="20"/>
        <v>6615595.5141017232</v>
      </c>
      <c r="J247" s="230"/>
      <c r="K247" s="231"/>
    </row>
    <row r="248" spans="2:11" ht="18">
      <c r="B248" s="228"/>
      <c r="C248" s="232"/>
      <c r="D248" s="239">
        <v>160</v>
      </c>
      <c r="E248" s="240">
        <f t="shared" si="16"/>
        <v>50045</v>
      </c>
      <c r="F248" s="241">
        <f t="shared" si="17"/>
        <v>52065.884175501677</v>
      </c>
      <c r="G248" s="241">
        <f t="shared" si="18"/>
        <v>32927.791117024448</v>
      </c>
      <c r="H248" s="241">
        <f t="shared" si="19"/>
        <v>19138.093058477229</v>
      </c>
      <c r="I248" s="242">
        <f t="shared" si="20"/>
        <v>6596552.4775341125</v>
      </c>
      <c r="J248" s="230"/>
      <c r="K248" s="231"/>
    </row>
    <row r="249" spans="2:11" ht="18">
      <c r="B249" s="228"/>
      <c r="C249" s="232"/>
      <c r="D249" s="239">
        <v>161</v>
      </c>
      <c r="E249" s="240">
        <f t="shared" si="16"/>
        <v>50076</v>
      </c>
      <c r="F249" s="241">
        <f t="shared" si="17"/>
        <v>52065.884175501677</v>
      </c>
      <c r="G249" s="241">
        <f t="shared" si="18"/>
        <v>32832.260135840879</v>
      </c>
      <c r="H249" s="241">
        <f t="shared" si="19"/>
        <v>19233.624039660797</v>
      </c>
      <c r="I249" s="242">
        <f t="shared" si="20"/>
        <v>6577414.3844756354</v>
      </c>
      <c r="J249" s="230"/>
      <c r="K249" s="231"/>
    </row>
    <row r="250" spans="2:11" ht="18">
      <c r="B250" s="228"/>
      <c r="C250" s="232"/>
      <c r="D250" s="239">
        <v>162</v>
      </c>
      <c r="E250" s="240">
        <f t="shared" si="16"/>
        <v>50104</v>
      </c>
      <c r="F250" s="241">
        <f t="shared" si="17"/>
        <v>52065.884175501669</v>
      </c>
      <c r="G250" s="241">
        <f t="shared" si="18"/>
        <v>32736.252295842907</v>
      </c>
      <c r="H250" s="241">
        <f t="shared" si="19"/>
        <v>19329.631879658762</v>
      </c>
      <c r="I250" s="242">
        <f t="shared" si="20"/>
        <v>6558180.7604359742</v>
      </c>
      <c r="J250" s="230"/>
      <c r="K250" s="231"/>
    </row>
    <row r="251" spans="2:11" ht="18">
      <c r="B251" s="228"/>
      <c r="C251" s="232"/>
      <c r="D251" s="239">
        <v>163</v>
      </c>
      <c r="E251" s="240">
        <f t="shared" si="16"/>
        <v>50135</v>
      </c>
      <c r="F251" s="241">
        <f t="shared" si="17"/>
        <v>52065.884175501684</v>
      </c>
      <c r="G251" s="241">
        <f t="shared" si="18"/>
        <v>32639.765216710279</v>
      </c>
      <c r="H251" s="241">
        <f t="shared" si="19"/>
        <v>19426.118958791405</v>
      </c>
      <c r="I251" s="242">
        <f t="shared" si="20"/>
        <v>6538851.1285563158</v>
      </c>
      <c r="J251" s="230"/>
      <c r="K251" s="231"/>
    </row>
    <row r="252" spans="2:11" ht="18">
      <c r="B252" s="228"/>
      <c r="C252" s="232"/>
      <c r="D252" s="239">
        <v>164</v>
      </c>
      <c r="E252" s="240">
        <f t="shared" si="16"/>
        <v>50165</v>
      </c>
      <c r="F252" s="241">
        <f t="shared" si="17"/>
        <v>52065.884175501677</v>
      </c>
      <c r="G252" s="241">
        <f t="shared" si="18"/>
        <v>32542.796506240975</v>
      </c>
      <c r="H252" s="241">
        <f t="shared" si="19"/>
        <v>19523.087669260702</v>
      </c>
      <c r="I252" s="242">
        <f t="shared" si="20"/>
        <v>6519425.0095975241</v>
      </c>
      <c r="J252" s="230"/>
      <c r="K252" s="231"/>
    </row>
    <row r="253" spans="2:11" ht="18">
      <c r="B253" s="228"/>
      <c r="C253" s="232"/>
      <c r="D253" s="239">
        <v>165</v>
      </c>
      <c r="E253" s="240">
        <f t="shared" si="16"/>
        <v>50196</v>
      </c>
      <c r="F253" s="241">
        <f t="shared" si="17"/>
        <v>52065.884175501669</v>
      </c>
      <c r="G253" s="241">
        <f t="shared" si="18"/>
        <v>32445.343760291915</v>
      </c>
      <c r="H253" s="241">
        <f t="shared" si="19"/>
        <v>19620.540415209754</v>
      </c>
      <c r="I253" s="242">
        <f t="shared" si="20"/>
        <v>6499901.9219282633</v>
      </c>
      <c r="J253" s="230"/>
      <c r="K253" s="231"/>
    </row>
    <row r="254" spans="2:11" ht="18">
      <c r="B254" s="228"/>
      <c r="C254" s="232"/>
      <c r="D254" s="239">
        <v>166</v>
      </c>
      <c r="E254" s="240">
        <f t="shared" si="16"/>
        <v>50226</v>
      </c>
      <c r="F254" s="241">
        <f t="shared" si="17"/>
        <v>52065.884175501677</v>
      </c>
      <c r="G254" s="241">
        <f t="shared" si="18"/>
        <v>32347.404562719326</v>
      </c>
      <c r="H254" s="241">
        <f t="shared" si="19"/>
        <v>19718.47961278235</v>
      </c>
      <c r="I254" s="242">
        <f t="shared" si="20"/>
        <v>6480281.3815130536</v>
      </c>
      <c r="J254" s="230"/>
      <c r="K254" s="231"/>
    </row>
    <row r="255" spans="2:11" ht="18">
      <c r="B255" s="228"/>
      <c r="C255" s="232"/>
      <c r="D255" s="239">
        <v>167</v>
      </c>
      <c r="E255" s="240">
        <f t="shared" si="16"/>
        <v>50257</v>
      </c>
      <c r="F255" s="241">
        <f t="shared" si="17"/>
        <v>52065.884175501669</v>
      </c>
      <c r="G255" s="241">
        <f t="shared" si="18"/>
        <v>32248.976485318854</v>
      </c>
      <c r="H255" s="241">
        <f t="shared" si="19"/>
        <v>19816.907690182816</v>
      </c>
      <c r="I255" s="242">
        <f t="shared" si="20"/>
        <v>6460562.901900271</v>
      </c>
      <c r="J255" s="230"/>
      <c r="K255" s="231"/>
    </row>
    <row r="256" spans="2:11" ht="18">
      <c r="B256" s="228"/>
      <c r="C256" s="232"/>
      <c r="D256" s="239">
        <v>168</v>
      </c>
      <c r="E256" s="240">
        <f t="shared" si="16"/>
        <v>50288</v>
      </c>
      <c r="F256" s="241">
        <f t="shared" si="17"/>
        <v>52065.884175501669</v>
      </c>
      <c r="G256" s="241">
        <f t="shared" si="18"/>
        <v>32150.057087765355</v>
      </c>
      <c r="H256" s="241">
        <f t="shared" si="19"/>
        <v>19915.827087736314</v>
      </c>
      <c r="I256" s="242">
        <f t="shared" si="20"/>
        <v>6440745.9942100877</v>
      </c>
      <c r="J256" s="230"/>
      <c r="K256" s="231"/>
    </row>
    <row r="257" spans="2:11" ht="18">
      <c r="B257" s="228"/>
      <c r="C257" s="232"/>
      <c r="D257" s="239">
        <v>169</v>
      </c>
      <c r="E257" s="240">
        <f t="shared" si="16"/>
        <v>50318</v>
      </c>
      <c r="F257" s="241">
        <f t="shared" si="17"/>
        <v>52065.884175501677</v>
      </c>
      <c r="G257" s="241">
        <f t="shared" si="18"/>
        <v>32050.643917552403</v>
      </c>
      <c r="H257" s="241">
        <f t="shared" si="19"/>
        <v>20015.240257949274</v>
      </c>
      <c r="I257" s="242">
        <f t="shared" si="20"/>
        <v>6420830.167122351</v>
      </c>
      <c r="J257" s="230"/>
      <c r="K257" s="231"/>
    </row>
    <row r="258" spans="2:11" ht="18">
      <c r="B258" s="228"/>
      <c r="C258" s="232"/>
      <c r="D258" s="239">
        <v>170</v>
      </c>
      <c r="E258" s="240">
        <f t="shared" si="16"/>
        <v>50349</v>
      </c>
      <c r="F258" s="241">
        <f t="shared" si="17"/>
        <v>52065.884175501662</v>
      </c>
      <c r="G258" s="241">
        <f t="shared" si="18"/>
        <v>31950.73450993147</v>
      </c>
      <c r="H258" s="241">
        <f t="shared" si="19"/>
        <v>20115.149665570192</v>
      </c>
      <c r="I258" s="242">
        <f t="shared" si="20"/>
        <v>6400814.9268644014</v>
      </c>
      <c r="J258" s="230"/>
      <c r="K258" s="231"/>
    </row>
    <row r="259" spans="2:11" ht="18">
      <c r="B259" s="228"/>
      <c r="C259" s="232"/>
      <c r="D259" s="239">
        <v>171</v>
      </c>
      <c r="E259" s="240">
        <f t="shared" si="16"/>
        <v>50379</v>
      </c>
      <c r="F259" s="241">
        <f t="shared" si="17"/>
        <v>52065.884175501669</v>
      </c>
      <c r="G259" s="241">
        <f t="shared" si="18"/>
        <v>31850.326387850837</v>
      </c>
      <c r="H259" s="241">
        <f t="shared" si="19"/>
        <v>20215.557787650832</v>
      </c>
      <c r="I259" s="242">
        <f t="shared" si="20"/>
        <v>6380699.7771988316</v>
      </c>
      <c r="J259" s="230"/>
      <c r="K259" s="231"/>
    </row>
    <row r="260" spans="2:11" ht="18">
      <c r="B260" s="228"/>
      <c r="C260" s="232"/>
      <c r="D260" s="239">
        <v>172</v>
      </c>
      <c r="E260" s="240">
        <f t="shared" si="16"/>
        <v>50410</v>
      </c>
      <c r="F260" s="241">
        <f t="shared" si="17"/>
        <v>52065.884175501669</v>
      </c>
      <c r="G260" s="241">
        <f t="shared" si="18"/>
        <v>31749.417061894143</v>
      </c>
      <c r="H260" s="241">
        <f t="shared" si="19"/>
        <v>20316.467113607527</v>
      </c>
      <c r="I260" s="242">
        <f t="shared" si="20"/>
        <v>6360484.2194111804</v>
      </c>
      <c r="J260" s="230"/>
      <c r="K260" s="231"/>
    </row>
    <row r="261" spans="2:11" ht="18">
      <c r="B261" s="228"/>
      <c r="C261" s="232"/>
      <c r="D261" s="239">
        <v>173</v>
      </c>
      <c r="E261" s="240">
        <f t="shared" si="16"/>
        <v>50441</v>
      </c>
      <c r="F261" s="241">
        <f t="shared" si="17"/>
        <v>52065.884175501669</v>
      </c>
      <c r="G261" s="241">
        <f t="shared" si="18"/>
        <v>31648.004030218719</v>
      </c>
      <c r="H261" s="241">
        <f t="shared" si="19"/>
        <v>20417.88014528295</v>
      </c>
      <c r="I261" s="242">
        <f t="shared" si="20"/>
        <v>6340167.7522975728</v>
      </c>
      <c r="J261" s="230"/>
      <c r="K261" s="231"/>
    </row>
    <row r="262" spans="2:11" ht="18">
      <c r="B262" s="228"/>
      <c r="C262" s="232"/>
      <c r="D262" s="239">
        <v>174</v>
      </c>
      <c r="E262" s="240">
        <f t="shared" si="16"/>
        <v>50469</v>
      </c>
      <c r="F262" s="241">
        <f t="shared" si="17"/>
        <v>52065.884175501669</v>
      </c>
      <c r="G262" s="241">
        <f t="shared" si="18"/>
        <v>31546.08477849351</v>
      </c>
      <c r="H262" s="241">
        <f t="shared" si="19"/>
        <v>20519.799397008159</v>
      </c>
      <c r="I262" s="242">
        <f t="shared" si="20"/>
        <v>6319749.8721522894</v>
      </c>
      <c r="J262" s="230"/>
      <c r="K262" s="231"/>
    </row>
    <row r="263" spans="2:11" ht="18">
      <c r="B263" s="228"/>
      <c r="C263" s="232"/>
      <c r="D263" s="239">
        <v>175</v>
      </c>
      <c r="E263" s="240">
        <f t="shared" si="16"/>
        <v>50500</v>
      </c>
      <c r="F263" s="241">
        <f t="shared" si="17"/>
        <v>52065.884175501677</v>
      </c>
      <c r="G263" s="241">
        <f t="shared" si="18"/>
        <v>31443.65677983678</v>
      </c>
      <c r="H263" s="241">
        <f t="shared" si="19"/>
        <v>20622.227395664897</v>
      </c>
      <c r="I263" s="242">
        <f t="shared" si="20"/>
        <v>6299230.0727552809</v>
      </c>
      <c r="J263" s="230"/>
      <c r="K263" s="231"/>
    </row>
    <row r="264" spans="2:11" ht="18">
      <c r="B264" s="228"/>
      <c r="C264" s="232"/>
      <c r="D264" s="239">
        <v>176</v>
      </c>
      <c r="E264" s="240">
        <f t="shared" si="16"/>
        <v>50530</v>
      </c>
      <c r="F264" s="241">
        <f t="shared" si="17"/>
        <v>52065.884175501677</v>
      </c>
      <c r="G264" s="241">
        <f t="shared" si="18"/>
        <v>31340.717494753419</v>
      </c>
      <c r="H264" s="241">
        <f t="shared" si="19"/>
        <v>20725.166680748258</v>
      </c>
      <c r="I264" s="242">
        <f t="shared" si="20"/>
        <v>6278607.845359616</v>
      </c>
      <c r="J264" s="230"/>
      <c r="K264" s="231"/>
    </row>
    <row r="265" spans="2:11" ht="18">
      <c r="B265" s="228"/>
      <c r="C265" s="232"/>
      <c r="D265" s="239">
        <v>177</v>
      </c>
      <c r="E265" s="240">
        <f t="shared" si="16"/>
        <v>50561</v>
      </c>
      <c r="F265" s="241">
        <f t="shared" si="17"/>
        <v>52065.884175501669</v>
      </c>
      <c r="G265" s="241">
        <f t="shared" si="18"/>
        <v>31237.264371072015</v>
      </c>
      <c r="H265" s="241">
        <f t="shared" si="19"/>
        <v>20828.619804429654</v>
      </c>
      <c r="I265" s="242">
        <f t="shared" si="20"/>
        <v>6257882.6786788674</v>
      </c>
      <c r="J265" s="230"/>
      <c r="K265" s="231"/>
    </row>
    <row r="266" spans="2:11" ht="18">
      <c r="B266" s="228"/>
      <c r="C266" s="232"/>
      <c r="D266" s="239">
        <v>178</v>
      </c>
      <c r="E266" s="240">
        <f t="shared" si="16"/>
        <v>50591</v>
      </c>
      <c r="F266" s="241">
        <f t="shared" si="17"/>
        <v>52065.884175501662</v>
      </c>
      <c r="G266" s="241">
        <f t="shared" si="18"/>
        <v>31133.294843881569</v>
      </c>
      <c r="H266" s="241">
        <f t="shared" si="19"/>
        <v>20932.589331620093</v>
      </c>
      <c r="I266" s="242">
        <f t="shared" si="20"/>
        <v>6237054.0588744376</v>
      </c>
      <c r="J266" s="230"/>
      <c r="K266" s="231"/>
    </row>
    <row r="267" spans="2:11" ht="18">
      <c r="B267" s="228"/>
      <c r="C267" s="232"/>
      <c r="D267" s="239">
        <v>179</v>
      </c>
      <c r="E267" s="240">
        <f t="shared" si="16"/>
        <v>50622</v>
      </c>
      <c r="F267" s="241">
        <f t="shared" si="17"/>
        <v>52065.884175501662</v>
      </c>
      <c r="G267" s="241">
        <f t="shared" si="18"/>
        <v>31028.806335467896</v>
      </c>
      <c r="H267" s="241">
        <f t="shared" si="19"/>
        <v>21037.077840033766</v>
      </c>
      <c r="I267" s="242">
        <f t="shared" si="20"/>
        <v>6216121.4695428172</v>
      </c>
      <c r="J267" s="230"/>
      <c r="K267" s="231"/>
    </row>
    <row r="268" spans="2:11" ht="18">
      <c r="B268" s="228"/>
      <c r="C268" s="232"/>
      <c r="D268" s="239">
        <v>180</v>
      </c>
      <c r="E268" s="240">
        <f t="shared" si="16"/>
        <v>50653</v>
      </c>
      <c r="F268" s="241">
        <f t="shared" si="17"/>
        <v>52065.884175501669</v>
      </c>
      <c r="G268" s="241">
        <f t="shared" si="18"/>
        <v>30923.796255249727</v>
      </c>
      <c r="H268" s="241">
        <f t="shared" si="19"/>
        <v>21142.087920251943</v>
      </c>
      <c r="I268" s="242">
        <f t="shared" si="20"/>
        <v>6195084.3917027833</v>
      </c>
      <c r="J268" s="230"/>
      <c r="K268" s="231"/>
    </row>
    <row r="269" spans="2:11" ht="18">
      <c r="B269" s="228"/>
      <c r="C269" s="232"/>
      <c r="D269" s="239">
        <v>181</v>
      </c>
      <c r="E269" s="240">
        <f t="shared" si="16"/>
        <v>50683</v>
      </c>
      <c r="F269" s="241">
        <f t="shared" si="17"/>
        <v>52065.884175501662</v>
      </c>
      <c r="G269" s="241">
        <f t="shared" si="18"/>
        <v>30818.261999714468</v>
      </c>
      <c r="H269" s="241">
        <f t="shared" si="19"/>
        <v>21247.622175787194</v>
      </c>
      <c r="I269" s="242">
        <f t="shared" si="20"/>
        <v>6173942.3037825311</v>
      </c>
      <c r="J269" s="230"/>
      <c r="K269" s="231"/>
    </row>
    <row r="270" spans="2:11" ht="18">
      <c r="B270" s="228"/>
      <c r="C270" s="232"/>
      <c r="D270" s="239">
        <v>182</v>
      </c>
      <c r="E270" s="240">
        <f t="shared" si="16"/>
        <v>50714</v>
      </c>
      <c r="F270" s="241">
        <f t="shared" si="17"/>
        <v>52065.884175501655</v>
      </c>
      <c r="G270" s="241">
        <f t="shared" si="18"/>
        <v>30712.200952353662</v>
      </c>
      <c r="H270" s="241">
        <f t="shared" si="19"/>
        <v>21353.683223147993</v>
      </c>
      <c r="I270" s="242">
        <f t="shared" si="20"/>
        <v>6152694.6816067435</v>
      </c>
      <c r="J270" s="230"/>
      <c r="K270" s="231"/>
    </row>
    <row r="271" spans="2:11" ht="18">
      <c r="B271" s="228"/>
      <c r="C271" s="232"/>
      <c r="D271" s="239">
        <v>183</v>
      </c>
      <c r="E271" s="240">
        <f t="shared" si="16"/>
        <v>50744</v>
      </c>
      <c r="F271" s="241">
        <f t="shared" si="17"/>
        <v>52065.884175501669</v>
      </c>
      <c r="G271" s="241">
        <f t="shared" si="18"/>
        <v>30605.610483598117</v>
      </c>
      <c r="H271" s="241">
        <f t="shared" si="19"/>
        <v>21460.273691903552</v>
      </c>
      <c r="I271" s="242">
        <f t="shared" si="20"/>
        <v>6131340.9983835956</v>
      </c>
      <c r="J271" s="230"/>
      <c r="K271" s="231"/>
    </row>
    <row r="272" spans="2:11" ht="18">
      <c r="B272" s="228"/>
      <c r="C272" s="232"/>
      <c r="D272" s="239">
        <v>184</v>
      </c>
      <c r="E272" s="240">
        <f t="shared" si="16"/>
        <v>50775</v>
      </c>
      <c r="F272" s="241">
        <f t="shared" si="17"/>
        <v>52065.884175501655</v>
      </c>
      <c r="G272" s="241">
        <f t="shared" si="18"/>
        <v>30498.487950752697</v>
      </c>
      <c r="H272" s="241">
        <f t="shared" si="19"/>
        <v>21567.396224748958</v>
      </c>
      <c r="I272" s="242">
        <f t="shared" si="20"/>
        <v>6109880.7246916918</v>
      </c>
      <c r="J272" s="230"/>
      <c r="K272" s="231"/>
    </row>
    <row r="273" spans="2:11" ht="18">
      <c r="B273" s="228"/>
      <c r="C273" s="232"/>
      <c r="D273" s="239">
        <v>185</v>
      </c>
      <c r="E273" s="240">
        <f t="shared" si="16"/>
        <v>50806</v>
      </c>
      <c r="F273" s="241">
        <f t="shared" si="17"/>
        <v>52065.884175501655</v>
      </c>
      <c r="G273" s="241">
        <f t="shared" si="18"/>
        <v>30390.830697930822</v>
      </c>
      <c r="H273" s="241">
        <f t="shared" si="19"/>
        <v>21675.053477570833</v>
      </c>
      <c r="I273" s="242">
        <f t="shared" si="20"/>
        <v>6088313.3284669425</v>
      </c>
      <c r="J273" s="230"/>
      <c r="K273" s="231"/>
    </row>
    <row r="274" spans="2:11" ht="18">
      <c r="B274" s="228"/>
      <c r="C274" s="232"/>
      <c r="D274" s="239">
        <v>186</v>
      </c>
      <c r="E274" s="240">
        <f t="shared" si="16"/>
        <v>50834</v>
      </c>
      <c r="F274" s="241">
        <f t="shared" si="17"/>
        <v>52065.884175501662</v>
      </c>
      <c r="G274" s="241">
        <f t="shared" si="18"/>
        <v>30282.636055988616</v>
      </c>
      <c r="H274" s="241">
        <f t="shared" si="19"/>
        <v>21783.248119513046</v>
      </c>
      <c r="I274" s="242">
        <f t="shared" si="20"/>
        <v>6066638.2749893721</v>
      </c>
      <c r="J274" s="230"/>
      <c r="K274" s="231"/>
    </row>
    <row r="275" spans="2:11" ht="18">
      <c r="B275" s="228"/>
      <c r="C275" s="232"/>
      <c r="D275" s="239">
        <v>187</v>
      </c>
      <c r="E275" s="240">
        <f t="shared" si="16"/>
        <v>50865</v>
      </c>
      <c r="F275" s="241">
        <f t="shared" si="17"/>
        <v>52065.884175501655</v>
      </c>
      <c r="G275" s="241">
        <f t="shared" si="18"/>
        <v>30173.90134245871</v>
      </c>
      <c r="H275" s="241">
        <f t="shared" si="19"/>
        <v>21891.982833042945</v>
      </c>
      <c r="I275" s="242">
        <f t="shared" si="20"/>
        <v>6044855.0268698586</v>
      </c>
      <c r="J275" s="230"/>
      <c r="K275" s="231"/>
    </row>
    <row r="276" spans="2:11" ht="18">
      <c r="B276" s="228"/>
      <c r="C276" s="232"/>
      <c r="D276" s="239">
        <v>188</v>
      </c>
      <c r="E276" s="240">
        <f t="shared" si="16"/>
        <v>50895</v>
      </c>
      <c r="F276" s="241">
        <f t="shared" si="17"/>
        <v>52065.884175501677</v>
      </c>
      <c r="G276" s="241">
        <f t="shared" si="18"/>
        <v>30064.623861483775</v>
      </c>
      <c r="H276" s="241">
        <f t="shared" si="19"/>
        <v>22001.260314017902</v>
      </c>
      <c r="I276" s="242">
        <f t="shared" si="20"/>
        <v>6022963.0440368159</v>
      </c>
      <c r="J276" s="230"/>
      <c r="K276" s="231"/>
    </row>
    <row r="277" spans="2:11" ht="18">
      <c r="B277" s="228"/>
      <c r="C277" s="232"/>
      <c r="D277" s="239">
        <v>189</v>
      </c>
      <c r="E277" s="240">
        <f t="shared" si="16"/>
        <v>50926</v>
      </c>
      <c r="F277" s="241">
        <f t="shared" si="17"/>
        <v>52065.884175501677</v>
      </c>
      <c r="G277" s="241">
        <f t="shared" si="18"/>
        <v>29954.800903749638</v>
      </c>
      <c r="H277" s="241">
        <f t="shared" si="19"/>
        <v>22111.083271752039</v>
      </c>
      <c r="I277" s="242">
        <f t="shared" si="20"/>
        <v>6000961.7837227983</v>
      </c>
      <c r="J277" s="230"/>
      <c r="K277" s="231"/>
    </row>
    <row r="278" spans="2:11" ht="18">
      <c r="B278" s="228"/>
      <c r="C278" s="232"/>
      <c r="D278" s="239">
        <v>190</v>
      </c>
      <c r="E278" s="240">
        <f t="shared" si="16"/>
        <v>50956</v>
      </c>
      <c r="F278" s="241">
        <f t="shared" si="17"/>
        <v>52065.884175501669</v>
      </c>
      <c r="G278" s="241">
        <f t="shared" si="18"/>
        <v>29844.42974641814</v>
      </c>
      <c r="H278" s="241">
        <f t="shared" si="19"/>
        <v>22221.454429083529</v>
      </c>
      <c r="I278" s="242">
        <f t="shared" si="20"/>
        <v>5978850.7004510462</v>
      </c>
      <c r="J278" s="230"/>
      <c r="K278" s="231"/>
    </row>
    <row r="279" spans="2:11" ht="18">
      <c r="B279" s="228"/>
      <c r="C279" s="232"/>
      <c r="D279" s="239">
        <v>191</v>
      </c>
      <c r="E279" s="240">
        <f t="shared" si="16"/>
        <v>50987</v>
      </c>
      <c r="F279" s="241">
        <f t="shared" si="17"/>
        <v>52065.884175501677</v>
      </c>
      <c r="G279" s="241">
        <f t="shared" si="18"/>
        <v>29733.507653059631</v>
      </c>
      <c r="H279" s="241">
        <f t="shared" si="19"/>
        <v>22332.376522442046</v>
      </c>
      <c r="I279" s="242">
        <f t="shared" si="20"/>
        <v>5956629.2460219627</v>
      </c>
      <c r="J279" s="230"/>
      <c r="K279" s="231"/>
    </row>
    <row r="280" spans="2:11" ht="18">
      <c r="B280" s="228"/>
      <c r="C280" s="232"/>
      <c r="D280" s="239">
        <v>192</v>
      </c>
      <c r="E280" s="240">
        <f t="shared" si="16"/>
        <v>51018</v>
      </c>
      <c r="F280" s="241">
        <f t="shared" si="17"/>
        <v>52065.884175501662</v>
      </c>
      <c r="G280" s="241">
        <f t="shared" si="18"/>
        <v>29622.031873585107</v>
      </c>
      <c r="H280" s="241">
        <f t="shared" si="19"/>
        <v>22443.852301916555</v>
      </c>
      <c r="I280" s="242">
        <f t="shared" si="20"/>
        <v>5934296.8694995204</v>
      </c>
      <c r="J280" s="230"/>
      <c r="K280" s="231"/>
    </row>
    <row r="281" spans="2:11" ht="18">
      <c r="B281" s="228"/>
      <c r="C281" s="232"/>
      <c r="D281" s="239">
        <v>193</v>
      </c>
      <c r="E281" s="240">
        <f t="shared" si="16"/>
        <v>51048</v>
      </c>
      <c r="F281" s="241">
        <f t="shared" si="17"/>
        <v>52065.884175501684</v>
      </c>
      <c r="G281" s="241">
        <f t="shared" si="18"/>
        <v>29509.999644178042</v>
      </c>
      <c r="H281" s="241">
        <f t="shared" si="19"/>
        <v>22555.884531323642</v>
      </c>
      <c r="I281" s="242">
        <f t="shared" si="20"/>
        <v>5911853.0171976043</v>
      </c>
      <c r="J281" s="230"/>
      <c r="K281" s="231"/>
    </row>
    <row r="282" spans="2:11" ht="18">
      <c r="B282" s="228"/>
      <c r="C282" s="232"/>
      <c r="D282" s="239">
        <v>194</v>
      </c>
      <c r="E282" s="240">
        <f t="shared" si="16"/>
        <v>51079</v>
      </c>
      <c r="F282" s="241">
        <f t="shared" si="17"/>
        <v>52065.884175501662</v>
      </c>
      <c r="G282" s="241">
        <f t="shared" si="18"/>
        <v>29397.40818722585</v>
      </c>
      <c r="H282" s="241">
        <f t="shared" si="19"/>
        <v>22668.475988275812</v>
      </c>
      <c r="I282" s="242">
        <f t="shared" si="20"/>
        <v>5889297.1326662805</v>
      </c>
      <c r="J282" s="230"/>
      <c r="K282" s="231"/>
    </row>
    <row r="283" spans="2:11" ht="18">
      <c r="B283" s="228"/>
      <c r="C283" s="232"/>
      <c r="D283" s="239">
        <v>195</v>
      </c>
      <c r="E283" s="240">
        <f t="shared" ref="E283:E346" si="21">DATE(YEAR($E282),MONTH($E282)+1,DAY($E282))</f>
        <v>51109</v>
      </c>
      <c r="F283" s="241">
        <f t="shared" ref="F283:F346" si="22">IFERROR(((I283))*($H$86/12)/(1-(1+($H$86/12))^-($E$26-D282)),"")</f>
        <v>52065.884175501669</v>
      </c>
      <c r="G283" s="241">
        <f t="shared" ref="G283:G346" si="23">IFERROR((IF(I283&gt;0,(I283*($H$86/12)),"")),"")</f>
        <v>29284.254711251044</v>
      </c>
      <c r="H283" s="241">
        <f t="shared" ref="H283:H346" si="24">IFERROR((F283-G283),"")</f>
        <v>22781.629464250625</v>
      </c>
      <c r="I283" s="242">
        <f t="shared" ref="I283:I346" si="25">IFERROR((IF(D283&gt;$E$26,0,I282-H282)),"")</f>
        <v>5866628.6566780051</v>
      </c>
      <c r="J283" s="230"/>
      <c r="K283" s="231"/>
    </row>
    <row r="284" spans="2:11" ht="18">
      <c r="B284" s="228"/>
      <c r="C284" s="232"/>
      <c r="D284" s="239">
        <v>196</v>
      </c>
      <c r="E284" s="240">
        <f t="shared" si="21"/>
        <v>51140</v>
      </c>
      <c r="F284" s="241">
        <f t="shared" si="22"/>
        <v>52065.884175501662</v>
      </c>
      <c r="G284" s="241">
        <f t="shared" si="23"/>
        <v>29170.536410841989</v>
      </c>
      <c r="H284" s="241">
        <f t="shared" si="24"/>
        <v>22895.347764659673</v>
      </c>
      <c r="I284" s="242">
        <f t="shared" si="25"/>
        <v>5843847.0272137541</v>
      </c>
      <c r="J284" s="230"/>
      <c r="K284" s="231"/>
    </row>
    <row r="285" spans="2:11" ht="18">
      <c r="B285" s="228"/>
      <c r="C285" s="232"/>
      <c r="D285" s="239">
        <v>197</v>
      </c>
      <c r="E285" s="240">
        <f t="shared" si="21"/>
        <v>51171</v>
      </c>
      <c r="F285" s="241">
        <f t="shared" si="22"/>
        <v>52065.884175501669</v>
      </c>
      <c r="G285" s="241">
        <f t="shared" si="23"/>
        <v>29056.250466583399</v>
      </c>
      <c r="H285" s="241">
        <f t="shared" si="24"/>
        <v>23009.633708918271</v>
      </c>
      <c r="I285" s="242">
        <f t="shared" si="25"/>
        <v>5820951.6794490945</v>
      </c>
      <c r="J285" s="230"/>
      <c r="K285" s="231"/>
    </row>
    <row r="286" spans="2:11" ht="18">
      <c r="B286" s="228"/>
      <c r="C286" s="232"/>
      <c r="D286" s="239">
        <v>198</v>
      </c>
      <c r="E286" s="240">
        <f t="shared" si="21"/>
        <v>51200</v>
      </c>
      <c r="F286" s="241">
        <f t="shared" si="22"/>
        <v>52065.884175501669</v>
      </c>
      <c r="G286" s="241">
        <f t="shared" si="23"/>
        <v>28941.39404498638</v>
      </c>
      <c r="H286" s="241">
        <f t="shared" si="24"/>
        <v>23124.490130515289</v>
      </c>
      <c r="I286" s="242">
        <f t="shared" si="25"/>
        <v>5797942.045740176</v>
      </c>
      <c r="J286" s="230"/>
      <c r="K286" s="231"/>
    </row>
    <row r="287" spans="2:11" ht="18">
      <c r="B287" s="228"/>
      <c r="C287" s="232"/>
      <c r="D287" s="239">
        <v>199</v>
      </c>
      <c r="E287" s="240">
        <f t="shared" si="21"/>
        <v>51231</v>
      </c>
      <c r="F287" s="241">
        <f t="shared" si="22"/>
        <v>52065.884175501677</v>
      </c>
      <c r="G287" s="241">
        <f t="shared" si="23"/>
        <v>28825.964298418225</v>
      </c>
      <c r="H287" s="241">
        <f t="shared" si="24"/>
        <v>23239.919877083452</v>
      </c>
      <c r="I287" s="242">
        <f t="shared" si="25"/>
        <v>5774817.5556096612</v>
      </c>
      <c r="J287" s="230"/>
      <c r="K287" s="231"/>
    </row>
    <row r="288" spans="2:11" ht="18">
      <c r="B288" s="228"/>
      <c r="C288" s="232"/>
      <c r="D288" s="239">
        <v>200</v>
      </c>
      <c r="E288" s="240">
        <f t="shared" si="21"/>
        <v>51261</v>
      </c>
      <c r="F288" s="241">
        <f t="shared" si="22"/>
        <v>52065.884175501684</v>
      </c>
      <c r="G288" s="241">
        <f t="shared" si="23"/>
        <v>28709.958365031787</v>
      </c>
      <c r="H288" s="241">
        <f t="shared" si="24"/>
        <v>23355.925810469897</v>
      </c>
      <c r="I288" s="242">
        <f t="shared" si="25"/>
        <v>5751577.6357325781</v>
      </c>
      <c r="J288" s="230"/>
      <c r="K288" s="231"/>
    </row>
    <row r="289" spans="2:11" ht="18">
      <c r="B289" s="228"/>
      <c r="C289" s="232"/>
      <c r="D289" s="239">
        <v>201</v>
      </c>
      <c r="E289" s="240">
        <f t="shared" si="21"/>
        <v>51292</v>
      </c>
      <c r="F289" s="241">
        <f t="shared" si="22"/>
        <v>52065.884175501677</v>
      </c>
      <c r="G289" s="241">
        <f t="shared" si="23"/>
        <v>28593.373368694523</v>
      </c>
      <c r="H289" s="241">
        <f t="shared" si="24"/>
        <v>23472.510806807153</v>
      </c>
      <c r="I289" s="242">
        <f t="shared" si="25"/>
        <v>5728221.7099221079</v>
      </c>
      <c r="J289" s="230"/>
      <c r="K289" s="231"/>
    </row>
    <row r="290" spans="2:11" ht="18">
      <c r="B290" s="228"/>
      <c r="C290" s="232"/>
      <c r="D290" s="239">
        <v>202</v>
      </c>
      <c r="E290" s="240">
        <f t="shared" si="21"/>
        <v>51322</v>
      </c>
      <c r="F290" s="241">
        <f t="shared" si="22"/>
        <v>52065.884175501691</v>
      </c>
      <c r="G290" s="241">
        <f t="shared" si="23"/>
        <v>28476.206418917209</v>
      </c>
      <c r="H290" s="241">
        <f t="shared" si="24"/>
        <v>23589.677756584482</v>
      </c>
      <c r="I290" s="242">
        <f t="shared" si="25"/>
        <v>5704749.1991153006</v>
      </c>
      <c r="J290" s="230"/>
      <c r="K290" s="231"/>
    </row>
    <row r="291" spans="2:11" ht="18">
      <c r="B291" s="228"/>
      <c r="C291" s="232"/>
      <c r="D291" s="239">
        <v>203</v>
      </c>
      <c r="E291" s="240">
        <f t="shared" si="21"/>
        <v>51353</v>
      </c>
      <c r="F291" s="241">
        <f t="shared" si="22"/>
        <v>52065.884175501684</v>
      </c>
      <c r="G291" s="241">
        <f t="shared" si="23"/>
        <v>28358.454610782261</v>
      </c>
      <c r="H291" s="241">
        <f t="shared" si="24"/>
        <v>23707.429564719423</v>
      </c>
      <c r="I291" s="242">
        <f t="shared" si="25"/>
        <v>5681159.5213587163</v>
      </c>
      <c r="J291" s="230"/>
      <c r="K291" s="231"/>
    </row>
    <row r="292" spans="2:11" ht="18">
      <c r="B292" s="228"/>
      <c r="C292" s="232"/>
      <c r="D292" s="239">
        <v>204</v>
      </c>
      <c r="E292" s="240">
        <f t="shared" si="21"/>
        <v>51384</v>
      </c>
      <c r="F292" s="241">
        <f t="shared" si="22"/>
        <v>52065.884175501691</v>
      </c>
      <c r="G292" s="241">
        <f t="shared" si="23"/>
        <v>28240.115024871702</v>
      </c>
      <c r="H292" s="241">
        <f t="shared" si="24"/>
        <v>23825.769150629989</v>
      </c>
      <c r="I292" s="242">
        <f t="shared" si="25"/>
        <v>5657452.0917939972</v>
      </c>
      <c r="J292" s="230"/>
      <c r="K292" s="231"/>
    </row>
    <row r="293" spans="2:11" ht="18">
      <c r="B293" s="228"/>
      <c r="C293" s="232"/>
      <c r="D293" s="239">
        <v>205</v>
      </c>
      <c r="E293" s="240">
        <f t="shared" si="21"/>
        <v>51414</v>
      </c>
      <c r="F293" s="241">
        <f t="shared" si="22"/>
        <v>52065.884175501691</v>
      </c>
      <c r="G293" s="241">
        <f t="shared" si="23"/>
        <v>28121.18472719481</v>
      </c>
      <c r="H293" s="241">
        <f t="shared" si="24"/>
        <v>23944.699448306881</v>
      </c>
      <c r="I293" s="242">
        <f t="shared" si="25"/>
        <v>5633626.3226433676</v>
      </c>
      <c r="J293" s="230"/>
      <c r="K293" s="231"/>
    </row>
    <row r="294" spans="2:11" ht="18">
      <c r="B294" s="228"/>
      <c r="C294" s="232"/>
      <c r="D294" s="239">
        <v>206</v>
      </c>
      <c r="E294" s="240">
        <f t="shared" si="21"/>
        <v>51445</v>
      </c>
      <c r="F294" s="241">
        <f t="shared" si="22"/>
        <v>52065.884175501684</v>
      </c>
      <c r="G294" s="241">
        <f t="shared" si="23"/>
        <v>28001.660769115344</v>
      </c>
      <c r="H294" s="241">
        <f t="shared" si="24"/>
        <v>24064.22340638634</v>
      </c>
      <c r="I294" s="242">
        <f t="shared" si="25"/>
        <v>5609681.6231950605</v>
      </c>
      <c r="J294" s="230"/>
      <c r="K294" s="231"/>
    </row>
    <row r="295" spans="2:11" ht="18">
      <c r="B295" s="228"/>
      <c r="C295" s="232"/>
      <c r="D295" s="239">
        <v>207</v>
      </c>
      <c r="E295" s="240">
        <f t="shared" si="21"/>
        <v>51475</v>
      </c>
      <c r="F295" s="241">
        <f t="shared" si="22"/>
        <v>52065.884175501698</v>
      </c>
      <c r="G295" s="241">
        <f t="shared" si="23"/>
        <v>27881.540187278464</v>
      </c>
      <c r="H295" s="241">
        <f t="shared" si="24"/>
        <v>24184.343988223234</v>
      </c>
      <c r="I295" s="242">
        <f t="shared" si="25"/>
        <v>5585617.399788674</v>
      </c>
      <c r="J295" s="230"/>
      <c r="K295" s="231"/>
    </row>
    <row r="296" spans="2:11" ht="18">
      <c r="B296" s="228"/>
      <c r="C296" s="232"/>
      <c r="D296" s="239">
        <v>208</v>
      </c>
      <c r="E296" s="240">
        <f t="shared" si="21"/>
        <v>51506</v>
      </c>
      <c r="F296" s="241">
        <f t="shared" si="22"/>
        <v>52065.884175501691</v>
      </c>
      <c r="G296" s="241">
        <f t="shared" si="23"/>
        <v>27760.82000353725</v>
      </c>
      <c r="H296" s="241">
        <f t="shared" si="24"/>
        <v>24305.064171964441</v>
      </c>
      <c r="I296" s="242">
        <f t="shared" si="25"/>
        <v>5561433.055800451</v>
      </c>
      <c r="J296" s="230"/>
      <c r="K296" s="231"/>
    </row>
    <row r="297" spans="2:11" ht="18">
      <c r="B297" s="228"/>
      <c r="C297" s="232"/>
      <c r="D297" s="239">
        <v>209</v>
      </c>
      <c r="E297" s="240">
        <f t="shared" si="21"/>
        <v>51537</v>
      </c>
      <c r="F297" s="241">
        <f t="shared" si="22"/>
        <v>52065.884175501691</v>
      </c>
      <c r="G297" s="241">
        <f t="shared" si="23"/>
        <v>27639.497224878862</v>
      </c>
      <c r="H297" s="241">
        <f t="shared" si="24"/>
        <v>24426.386950622829</v>
      </c>
      <c r="I297" s="242">
        <f t="shared" si="25"/>
        <v>5537127.9916284867</v>
      </c>
      <c r="J297" s="230"/>
      <c r="K297" s="231"/>
    </row>
    <row r="298" spans="2:11" ht="18">
      <c r="B298" s="228"/>
      <c r="C298" s="232"/>
      <c r="D298" s="239">
        <v>210</v>
      </c>
      <c r="E298" s="240">
        <f t="shared" si="21"/>
        <v>51565</v>
      </c>
      <c r="F298" s="241">
        <f t="shared" si="22"/>
        <v>52065.884175501698</v>
      </c>
      <c r="G298" s="241">
        <f t="shared" si="23"/>
        <v>27517.568843350335</v>
      </c>
      <c r="H298" s="241">
        <f t="shared" si="24"/>
        <v>24548.315332151364</v>
      </c>
      <c r="I298" s="242">
        <f t="shared" si="25"/>
        <v>5512701.6046778634</v>
      </c>
      <c r="J298" s="230"/>
      <c r="K298" s="231"/>
    </row>
    <row r="299" spans="2:11" ht="18">
      <c r="B299" s="228"/>
      <c r="C299" s="232"/>
      <c r="D299" s="239">
        <v>211</v>
      </c>
      <c r="E299" s="240">
        <f t="shared" si="21"/>
        <v>51596</v>
      </c>
      <c r="F299" s="241">
        <f t="shared" si="22"/>
        <v>52065.884175501691</v>
      </c>
      <c r="G299" s="241">
        <f t="shared" si="23"/>
        <v>27395.031835984017</v>
      </c>
      <c r="H299" s="241">
        <f t="shared" si="24"/>
        <v>24670.852339517674</v>
      </c>
      <c r="I299" s="242">
        <f t="shared" si="25"/>
        <v>5488153.2893457124</v>
      </c>
      <c r="J299" s="230"/>
      <c r="K299" s="231"/>
    </row>
    <row r="300" spans="2:11" ht="18">
      <c r="B300" s="228"/>
      <c r="C300" s="232"/>
      <c r="D300" s="239">
        <v>212</v>
      </c>
      <c r="E300" s="240">
        <f t="shared" si="21"/>
        <v>51626</v>
      </c>
      <c r="F300" s="241">
        <f t="shared" si="22"/>
        <v>52065.884175501706</v>
      </c>
      <c r="G300" s="241">
        <f t="shared" si="23"/>
        <v>27271.883164722592</v>
      </c>
      <c r="H300" s="241">
        <f t="shared" si="24"/>
        <v>24794.001010779113</v>
      </c>
      <c r="I300" s="242">
        <f t="shared" si="25"/>
        <v>5463482.4370061951</v>
      </c>
      <c r="J300" s="230"/>
      <c r="K300" s="231"/>
    </row>
    <row r="301" spans="2:11" ht="18">
      <c r="B301" s="228"/>
      <c r="C301" s="232"/>
      <c r="D301" s="239">
        <v>213</v>
      </c>
      <c r="E301" s="240">
        <f t="shared" si="21"/>
        <v>51657</v>
      </c>
      <c r="F301" s="241">
        <f t="shared" si="22"/>
        <v>52065.884175501713</v>
      </c>
      <c r="G301" s="241">
        <f t="shared" si="23"/>
        <v>27148.119776343785</v>
      </c>
      <c r="H301" s="241">
        <f t="shared" si="24"/>
        <v>24917.764399157928</v>
      </c>
      <c r="I301" s="242">
        <f t="shared" si="25"/>
        <v>5438688.4359954158</v>
      </c>
      <c r="J301" s="230"/>
      <c r="K301" s="231"/>
    </row>
    <row r="302" spans="2:11" ht="18">
      <c r="B302" s="228"/>
      <c r="C302" s="232"/>
      <c r="D302" s="239">
        <v>214</v>
      </c>
      <c r="E302" s="240">
        <f t="shared" si="21"/>
        <v>51687</v>
      </c>
      <c r="F302" s="241">
        <f t="shared" si="22"/>
        <v>52065.884175501706</v>
      </c>
      <c r="G302" s="241">
        <f t="shared" si="23"/>
        <v>27023.738602384656</v>
      </c>
      <c r="H302" s="241">
        <f t="shared" si="24"/>
        <v>25042.14557311705</v>
      </c>
      <c r="I302" s="242">
        <f t="shared" si="25"/>
        <v>5413770.6715962579</v>
      </c>
      <c r="J302" s="230"/>
      <c r="K302" s="231"/>
    </row>
    <row r="303" spans="2:11" ht="18">
      <c r="B303" s="228"/>
      <c r="C303" s="232"/>
      <c r="D303" s="239">
        <v>215</v>
      </c>
      <c r="E303" s="240">
        <f t="shared" si="21"/>
        <v>51718</v>
      </c>
      <c r="F303" s="241">
        <f t="shared" si="22"/>
        <v>52065.88417550172</v>
      </c>
      <c r="G303" s="241">
        <f t="shared" si="23"/>
        <v>26898.736559065514</v>
      </c>
      <c r="H303" s="241">
        <f t="shared" si="24"/>
        <v>25167.147616436207</v>
      </c>
      <c r="I303" s="242">
        <f t="shared" si="25"/>
        <v>5388728.5260231411</v>
      </c>
      <c r="J303" s="230"/>
      <c r="K303" s="231"/>
    </row>
    <row r="304" spans="2:11" ht="18">
      <c r="B304" s="228"/>
      <c r="C304" s="232"/>
      <c r="D304" s="239">
        <v>216</v>
      </c>
      <c r="E304" s="240">
        <f t="shared" si="21"/>
        <v>51749</v>
      </c>
      <c r="F304" s="241">
        <f t="shared" si="22"/>
        <v>52065.884175501713</v>
      </c>
      <c r="G304" s="241">
        <f t="shared" si="23"/>
        <v>26773.110547213473</v>
      </c>
      <c r="H304" s="241">
        <f t="shared" si="24"/>
        <v>25292.77362828824</v>
      </c>
      <c r="I304" s="242">
        <f t="shared" si="25"/>
        <v>5363561.3784067053</v>
      </c>
      <c r="J304" s="230"/>
      <c r="K304" s="231"/>
    </row>
    <row r="305" spans="2:11" ht="18">
      <c r="B305" s="228"/>
      <c r="C305" s="232"/>
      <c r="D305" s="239">
        <v>217</v>
      </c>
      <c r="E305" s="240">
        <f t="shared" si="21"/>
        <v>51779</v>
      </c>
      <c r="F305" s="241">
        <f t="shared" si="22"/>
        <v>52065.884175501727</v>
      </c>
      <c r="G305" s="241">
        <f t="shared" si="23"/>
        <v>26646.857452185603</v>
      </c>
      <c r="H305" s="241">
        <f t="shared" si="24"/>
        <v>25419.026723316125</v>
      </c>
      <c r="I305" s="242">
        <f t="shared" si="25"/>
        <v>5338268.6047784174</v>
      </c>
      <c r="J305" s="230"/>
      <c r="K305" s="231"/>
    </row>
    <row r="306" spans="2:11" ht="18">
      <c r="B306" s="228"/>
      <c r="C306" s="232"/>
      <c r="D306" s="239">
        <v>218</v>
      </c>
      <c r="E306" s="240">
        <f t="shared" si="21"/>
        <v>51810</v>
      </c>
      <c r="F306" s="241">
        <f t="shared" si="22"/>
        <v>52065.88417550172</v>
      </c>
      <c r="G306" s="241">
        <f t="shared" si="23"/>
        <v>26519.974143791715</v>
      </c>
      <c r="H306" s="241">
        <f t="shared" si="24"/>
        <v>25545.910031710006</v>
      </c>
      <c r="I306" s="242">
        <f t="shared" si="25"/>
        <v>5312849.5780551014</v>
      </c>
      <c r="J306" s="230"/>
      <c r="K306" s="231"/>
    </row>
    <row r="307" spans="2:11" ht="18">
      <c r="B307" s="228"/>
      <c r="C307" s="232"/>
      <c r="D307" s="239">
        <v>219</v>
      </c>
      <c r="E307" s="240">
        <f t="shared" si="21"/>
        <v>51840</v>
      </c>
      <c r="F307" s="241">
        <f t="shared" si="22"/>
        <v>52065.884175501735</v>
      </c>
      <c r="G307" s="241">
        <f t="shared" si="23"/>
        <v>26392.457476216765</v>
      </c>
      <c r="H307" s="241">
        <f t="shared" si="24"/>
        <v>25673.42669928497</v>
      </c>
      <c r="I307" s="242">
        <f t="shared" si="25"/>
        <v>5287303.6680233916</v>
      </c>
      <c r="J307" s="230"/>
      <c r="K307" s="231"/>
    </row>
    <row r="308" spans="2:11" ht="18">
      <c r="B308" s="228"/>
      <c r="C308" s="232"/>
      <c r="D308" s="239">
        <v>220</v>
      </c>
      <c r="E308" s="240">
        <f t="shared" si="21"/>
        <v>51871</v>
      </c>
      <c r="F308" s="241">
        <f t="shared" si="22"/>
        <v>52065.884175501727</v>
      </c>
      <c r="G308" s="241">
        <f t="shared" si="23"/>
        <v>26264.304287942832</v>
      </c>
      <c r="H308" s="241">
        <f t="shared" si="24"/>
        <v>25801.579887558895</v>
      </c>
      <c r="I308" s="242">
        <f t="shared" si="25"/>
        <v>5261630.2413241062</v>
      </c>
      <c r="J308" s="230"/>
      <c r="K308" s="231"/>
    </row>
    <row r="309" spans="2:11" ht="18">
      <c r="B309" s="228"/>
      <c r="C309" s="232"/>
      <c r="D309" s="239">
        <v>221</v>
      </c>
      <c r="E309" s="240">
        <f t="shared" si="21"/>
        <v>51902</v>
      </c>
      <c r="F309" s="241">
        <f t="shared" si="22"/>
        <v>52065.884175501727</v>
      </c>
      <c r="G309" s="241">
        <f t="shared" si="23"/>
        <v>26135.511401670767</v>
      </c>
      <c r="H309" s="241">
        <f t="shared" si="24"/>
        <v>25930.372773830961</v>
      </c>
      <c r="I309" s="242">
        <f t="shared" si="25"/>
        <v>5235828.6614365475</v>
      </c>
      <c r="J309" s="230"/>
      <c r="K309" s="231"/>
    </row>
    <row r="310" spans="2:11" ht="18">
      <c r="B310" s="228"/>
      <c r="C310" s="232"/>
      <c r="D310" s="239">
        <v>222</v>
      </c>
      <c r="E310" s="240">
        <f t="shared" si="21"/>
        <v>51930</v>
      </c>
      <c r="F310" s="241">
        <f t="shared" si="22"/>
        <v>52065.88417550172</v>
      </c>
      <c r="G310" s="241">
        <f t="shared" si="23"/>
        <v>26006.075624241395</v>
      </c>
      <c r="H310" s="241">
        <f t="shared" si="24"/>
        <v>26059.808551260325</v>
      </c>
      <c r="I310" s="242">
        <f t="shared" si="25"/>
        <v>5209898.2886627167</v>
      </c>
      <c r="J310" s="230"/>
      <c r="K310" s="231"/>
    </row>
    <row r="311" spans="2:11" ht="18">
      <c r="B311" s="228"/>
      <c r="C311" s="232"/>
      <c r="D311" s="239">
        <v>223</v>
      </c>
      <c r="E311" s="240">
        <f t="shared" si="21"/>
        <v>51961</v>
      </c>
      <c r="F311" s="241">
        <f t="shared" si="22"/>
        <v>52065.884175501742</v>
      </c>
      <c r="G311" s="241">
        <f t="shared" si="23"/>
        <v>25875.993746556353</v>
      </c>
      <c r="H311" s="241">
        <f t="shared" si="24"/>
        <v>26189.890428945389</v>
      </c>
      <c r="I311" s="242">
        <f t="shared" si="25"/>
        <v>5183838.4801114565</v>
      </c>
      <c r="J311" s="230"/>
      <c r="K311" s="231"/>
    </row>
    <row r="312" spans="2:11" ht="18">
      <c r="B312" s="228"/>
      <c r="C312" s="232"/>
      <c r="D312" s="239">
        <v>224</v>
      </c>
      <c r="E312" s="240">
        <f t="shared" si="21"/>
        <v>51991</v>
      </c>
      <c r="F312" s="241">
        <f t="shared" si="22"/>
        <v>52065.884175501735</v>
      </c>
      <c r="G312" s="241">
        <f t="shared" si="23"/>
        <v>25745.262543498535</v>
      </c>
      <c r="H312" s="241">
        <f t="shared" si="24"/>
        <v>26320.6216320032</v>
      </c>
      <c r="I312" s="242">
        <f t="shared" si="25"/>
        <v>5157648.5896825111</v>
      </c>
      <c r="J312" s="230"/>
      <c r="K312" s="231"/>
    </row>
    <row r="313" spans="2:11" ht="18">
      <c r="B313" s="228"/>
      <c r="C313" s="232"/>
      <c r="D313" s="239">
        <v>225</v>
      </c>
      <c r="E313" s="240">
        <f t="shared" si="21"/>
        <v>52022</v>
      </c>
      <c r="F313" s="241">
        <f t="shared" si="22"/>
        <v>52065.884175501735</v>
      </c>
      <c r="G313" s="241">
        <f t="shared" si="23"/>
        <v>25613.878773852121</v>
      </c>
      <c r="H313" s="241">
        <f t="shared" si="24"/>
        <v>26452.005401649614</v>
      </c>
      <c r="I313" s="242">
        <f t="shared" si="25"/>
        <v>5131327.9680505078</v>
      </c>
      <c r="J313" s="230"/>
      <c r="K313" s="231"/>
    </row>
    <row r="314" spans="2:11" ht="18">
      <c r="B314" s="228"/>
      <c r="C314" s="232"/>
      <c r="D314" s="239">
        <v>226</v>
      </c>
      <c r="E314" s="240">
        <f t="shared" si="21"/>
        <v>52052</v>
      </c>
      <c r="F314" s="241">
        <f t="shared" si="22"/>
        <v>52065.88417550172</v>
      </c>
      <c r="G314" s="241">
        <f t="shared" si="23"/>
        <v>25481.839180222218</v>
      </c>
      <c r="H314" s="241">
        <f t="shared" si="24"/>
        <v>26584.044995279502</v>
      </c>
      <c r="I314" s="242">
        <f t="shared" si="25"/>
        <v>5104875.9626488583</v>
      </c>
      <c r="J314" s="230"/>
      <c r="K314" s="231"/>
    </row>
    <row r="315" spans="2:11" ht="18">
      <c r="B315" s="228"/>
      <c r="C315" s="232"/>
      <c r="D315" s="239">
        <v>227</v>
      </c>
      <c r="E315" s="240">
        <f t="shared" si="21"/>
        <v>52083</v>
      </c>
      <c r="F315" s="241">
        <f t="shared" si="22"/>
        <v>52065.884175501742</v>
      </c>
      <c r="G315" s="241">
        <f t="shared" si="23"/>
        <v>25349.140488954119</v>
      </c>
      <c r="H315" s="241">
        <f t="shared" si="24"/>
        <v>26716.743686547623</v>
      </c>
      <c r="I315" s="242">
        <f t="shared" si="25"/>
        <v>5078291.9176535793</v>
      </c>
      <c r="J315" s="230"/>
      <c r="K315" s="231"/>
    </row>
    <row r="316" spans="2:11" ht="18">
      <c r="B316" s="228"/>
      <c r="C316" s="232"/>
      <c r="D316" s="239">
        <v>228</v>
      </c>
      <c r="E316" s="240">
        <f t="shared" si="21"/>
        <v>52114</v>
      </c>
      <c r="F316" s="241">
        <f t="shared" si="22"/>
        <v>52065.884175501749</v>
      </c>
      <c r="G316" s="241">
        <f t="shared" si="23"/>
        <v>25215.779410052102</v>
      </c>
      <c r="H316" s="241">
        <f t="shared" si="24"/>
        <v>26850.104765449647</v>
      </c>
      <c r="I316" s="242">
        <f t="shared" si="25"/>
        <v>5051575.1739670318</v>
      </c>
      <c r="J316" s="230"/>
      <c r="K316" s="231"/>
    </row>
    <row r="317" spans="2:11" ht="18">
      <c r="B317" s="228"/>
      <c r="C317" s="232"/>
      <c r="D317" s="239">
        <v>229</v>
      </c>
      <c r="E317" s="240">
        <f t="shared" si="21"/>
        <v>52144</v>
      </c>
      <c r="F317" s="241">
        <f t="shared" si="22"/>
        <v>52065.884175501749</v>
      </c>
      <c r="G317" s="241">
        <f t="shared" si="23"/>
        <v>25081.752637097899</v>
      </c>
      <c r="H317" s="241">
        <f t="shared" si="24"/>
        <v>26984.13153840385</v>
      </c>
      <c r="I317" s="242">
        <f t="shared" si="25"/>
        <v>5024725.0692015821</v>
      </c>
      <c r="J317" s="230"/>
      <c r="K317" s="231"/>
    </row>
    <row r="318" spans="2:11" ht="18">
      <c r="B318" s="228"/>
      <c r="C318" s="232"/>
      <c r="D318" s="239">
        <v>230</v>
      </c>
      <c r="E318" s="240">
        <f t="shared" si="21"/>
        <v>52175</v>
      </c>
      <c r="F318" s="241">
        <f t="shared" si="22"/>
        <v>52065.884175501749</v>
      </c>
      <c r="G318" s="241">
        <f t="shared" si="23"/>
        <v>24947.056847168697</v>
      </c>
      <c r="H318" s="241">
        <f t="shared" si="24"/>
        <v>27118.827328333053</v>
      </c>
      <c r="I318" s="242">
        <f t="shared" si="25"/>
        <v>4997740.937663178</v>
      </c>
      <c r="J318" s="230"/>
      <c r="K318" s="231"/>
    </row>
    <row r="319" spans="2:11" ht="18">
      <c r="B319" s="228"/>
      <c r="C319" s="232"/>
      <c r="D319" s="239">
        <v>231</v>
      </c>
      <c r="E319" s="240">
        <f t="shared" si="21"/>
        <v>52205</v>
      </c>
      <c r="F319" s="241">
        <f t="shared" si="22"/>
        <v>52065.884175501742</v>
      </c>
      <c r="G319" s="241">
        <f t="shared" si="23"/>
        <v>24811.68870075477</v>
      </c>
      <c r="H319" s="241">
        <f t="shared" si="24"/>
        <v>27254.195474746972</v>
      </c>
      <c r="I319" s="242">
        <f t="shared" si="25"/>
        <v>4970622.1103348453</v>
      </c>
      <c r="J319" s="230"/>
      <c r="K319" s="231"/>
    </row>
    <row r="320" spans="2:11" ht="18">
      <c r="B320" s="228"/>
      <c r="C320" s="232"/>
      <c r="D320" s="239">
        <v>232</v>
      </c>
      <c r="E320" s="240">
        <f t="shared" si="21"/>
        <v>52236</v>
      </c>
      <c r="F320" s="241">
        <f t="shared" si="22"/>
        <v>52065.884175501742</v>
      </c>
      <c r="G320" s="241">
        <f t="shared" si="23"/>
        <v>24675.644841676658</v>
      </c>
      <c r="H320" s="241">
        <f t="shared" si="24"/>
        <v>27390.239333825084</v>
      </c>
      <c r="I320" s="242">
        <f t="shared" si="25"/>
        <v>4943367.9148600986</v>
      </c>
      <c r="J320" s="230"/>
      <c r="K320" s="231"/>
    </row>
    <row r="321" spans="2:11" ht="18">
      <c r="B321" s="228"/>
      <c r="C321" s="232"/>
      <c r="D321" s="239">
        <v>233</v>
      </c>
      <c r="E321" s="240">
        <f t="shared" si="21"/>
        <v>52267</v>
      </c>
      <c r="F321" s="241">
        <f t="shared" si="22"/>
        <v>52065.884175501757</v>
      </c>
      <c r="G321" s="241">
        <f t="shared" si="23"/>
        <v>24538.921897001983</v>
      </c>
      <c r="H321" s="241">
        <f t="shared" si="24"/>
        <v>27526.962278499774</v>
      </c>
      <c r="I321" s="242">
        <f t="shared" si="25"/>
        <v>4915977.6755262734</v>
      </c>
      <c r="J321" s="230"/>
      <c r="K321" s="231"/>
    </row>
    <row r="322" spans="2:11" ht="18">
      <c r="B322" s="228"/>
      <c r="C322" s="232"/>
      <c r="D322" s="239">
        <v>234</v>
      </c>
      <c r="E322" s="240">
        <f t="shared" si="21"/>
        <v>52295</v>
      </c>
      <c r="F322" s="241">
        <f t="shared" si="22"/>
        <v>52065.884175501749</v>
      </c>
      <c r="G322" s="241">
        <f t="shared" si="23"/>
        <v>24401.516476961802</v>
      </c>
      <c r="H322" s="241">
        <f t="shared" si="24"/>
        <v>27664.367698539947</v>
      </c>
      <c r="I322" s="242">
        <f t="shared" si="25"/>
        <v>4888450.7132477732</v>
      </c>
      <c r="J322" s="230"/>
      <c r="K322" s="231"/>
    </row>
    <row r="323" spans="2:11" ht="18">
      <c r="B323" s="228"/>
      <c r="C323" s="232"/>
      <c r="D323" s="239">
        <v>235</v>
      </c>
      <c r="E323" s="240">
        <f t="shared" si="21"/>
        <v>52326</v>
      </c>
      <c r="F323" s="241">
        <f t="shared" si="22"/>
        <v>52065.884175501749</v>
      </c>
      <c r="G323" s="241">
        <f t="shared" si="23"/>
        <v>24263.425174866588</v>
      </c>
      <c r="H323" s="241">
        <f t="shared" si="24"/>
        <v>27802.459000635161</v>
      </c>
      <c r="I323" s="242">
        <f t="shared" si="25"/>
        <v>4860786.3455492333</v>
      </c>
      <c r="J323" s="230"/>
      <c r="K323" s="231"/>
    </row>
    <row r="324" spans="2:11" ht="18">
      <c r="B324" s="228"/>
      <c r="C324" s="232"/>
      <c r="D324" s="239">
        <v>236</v>
      </c>
      <c r="E324" s="240">
        <f t="shared" si="21"/>
        <v>52356</v>
      </c>
      <c r="F324" s="241">
        <f t="shared" si="22"/>
        <v>52065.884175501764</v>
      </c>
      <c r="G324" s="241">
        <f t="shared" si="23"/>
        <v>24124.644567021754</v>
      </c>
      <c r="H324" s="241">
        <f t="shared" si="24"/>
        <v>27941.239608480009</v>
      </c>
      <c r="I324" s="242">
        <f t="shared" si="25"/>
        <v>4832983.8865485983</v>
      </c>
      <c r="J324" s="230"/>
      <c r="K324" s="231"/>
    </row>
    <row r="325" spans="2:11" ht="18">
      <c r="B325" s="228"/>
      <c r="C325" s="232"/>
      <c r="D325" s="239">
        <v>237</v>
      </c>
      <c r="E325" s="240">
        <f t="shared" si="21"/>
        <v>52387</v>
      </c>
      <c r="F325" s="241">
        <f t="shared" si="22"/>
        <v>52065.884175501764</v>
      </c>
      <c r="G325" s="241">
        <f t="shared" si="23"/>
        <v>23985.171212642759</v>
      </c>
      <c r="H325" s="241">
        <f t="shared" si="24"/>
        <v>28080.712962859005</v>
      </c>
      <c r="I325" s="242">
        <f t="shared" si="25"/>
        <v>4805042.6469401186</v>
      </c>
      <c r="J325" s="230"/>
      <c r="K325" s="231"/>
    </row>
    <row r="326" spans="2:11" ht="18">
      <c r="B326" s="228"/>
      <c r="C326" s="232"/>
      <c r="D326" s="239">
        <v>238</v>
      </c>
      <c r="E326" s="240">
        <f t="shared" si="21"/>
        <v>52417</v>
      </c>
      <c r="F326" s="241">
        <f t="shared" si="22"/>
        <v>52065.884175501771</v>
      </c>
      <c r="G326" s="241">
        <f t="shared" si="23"/>
        <v>23845.001653769821</v>
      </c>
      <c r="H326" s="241">
        <f t="shared" si="24"/>
        <v>28220.88252173195</v>
      </c>
      <c r="I326" s="242">
        <f t="shared" si="25"/>
        <v>4776961.9339772593</v>
      </c>
      <c r="J326" s="230"/>
      <c r="K326" s="231"/>
    </row>
    <row r="327" spans="2:11" ht="18">
      <c r="B327" s="228"/>
      <c r="C327" s="232"/>
      <c r="D327" s="239">
        <v>239</v>
      </c>
      <c r="E327" s="240">
        <f t="shared" si="21"/>
        <v>52448</v>
      </c>
      <c r="F327" s="241">
        <f t="shared" si="22"/>
        <v>52065.884175501764</v>
      </c>
      <c r="G327" s="241">
        <f t="shared" si="23"/>
        <v>23704.132415182175</v>
      </c>
      <c r="H327" s="241">
        <f t="shared" si="24"/>
        <v>28361.751760319588</v>
      </c>
      <c r="I327" s="242">
        <f t="shared" si="25"/>
        <v>4748741.0514555275</v>
      </c>
      <c r="J327" s="230"/>
      <c r="K327" s="231"/>
    </row>
    <row r="328" spans="2:11" ht="18">
      <c r="B328" s="228"/>
      <c r="C328" s="232"/>
      <c r="D328" s="239">
        <v>240</v>
      </c>
      <c r="E328" s="240">
        <f t="shared" si="21"/>
        <v>52479</v>
      </c>
      <c r="F328" s="241">
        <f t="shared" si="22"/>
        <v>52065.884175501764</v>
      </c>
      <c r="G328" s="241">
        <f t="shared" si="23"/>
        <v>23562.560004311912</v>
      </c>
      <c r="H328" s="241">
        <f t="shared" si="24"/>
        <v>28503.324171189852</v>
      </c>
      <c r="I328" s="242">
        <f t="shared" si="25"/>
        <v>4720379.2996952077</v>
      </c>
      <c r="J328" s="230"/>
      <c r="K328" s="231"/>
    </row>
    <row r="329" spans="2:11" ht="18">
      <c r="B329" s="228"/>
      <c r="C329" s="232"/>
      <c r="D329" s="239">
        <v>241</v>
      </c>
      <c r="E329" s="240">
        <f t="shared" si="21"/>
        <v>52509</v>
      </c>
      <c r="F329" s="241">
        <f t="shared" si="22"/>
        <v>52065.884175501757</v>
      </c>
      <c r="G329" s="241">
        <f t="shared" si="23"/>
        <v>23420.280911157388</v>
      </c>
      <c r="H329" s="241">
        <f t="shared" si="24"/>
        <v>28645.603264344369</v>
      </c>
      <c r="I329" s="242">
        <f t="shared" si="25"/>
        <v>4691875.9755240176</v>
      </c>
      <c r="J329" s="230"/>
      <c r="K329" s="231"/>
    </row>
    <row r="330" spans="2:11" ht="18">
      <c r="B330" s="228"/>
      <c r="C330" s="232"/>
      <c r="D330" s="239">
        <v>242</v>
      </c>
      <c r="E330" s="240">
        <f t="shared" si="21"/>
        <v>52540</v>
      </c>
      <c r="F330" s="241">
        <f t="shared" si="22"/>
        <v>52065.884175501757</v>
      </c>
      <c r="G330" s="241">
        <f t="shared" si="23"/>
        <v>23277.291608196207</v>
      </c>
      <c r="H330" s="241">
        <f t="shared" si="24"/>
        <v>28788.59256730555</v>
      </c>
      <c r="I330" s="242">
        <f t="shared" si="25"/>
        <v>4663230.3722596737</v>
      </c>
      <c r="J330" s="230"/>
      <c r="K330" s="231"/>
    </row>
    <row r="331" spans="2:11" ht="18">
      <c r="B331" s="228"/>
      <c r="C331" s="232"/>
      <c r="D331" s="239">
        <v>243</v>
      </c>
      <c r="E331" s="240">
        <f t="shared" si="21"/>
        <v>52570</v>
      </c>
      <c r="F331" s="241">
        <f t="shared" si="22"/>
        <v>52065.884175501771</v>
      </c>
      <c r="G331" s="241">
        <f t="shared" si="23"/>
        <v>23133.588550297736</v>
      </c>
      <c r="H331" s="241">
        <f t="shared" si="24"/>
        <v>28932.295625204035</v>
      </c>
      <c r="I331" s="242">
        <f t="shared" si="25"/>
        <v>4634441.7796923677</v>
      </c>
      <c r="J331" s="230"/>
      <c r="K331" s="231"/>
    </row>
    <row r="332" spans="2:11" ht="18">
      <c r="B332" s="228"/>
      <c r="C332" s="232"/>
      <c r="D332" s="239">
        <v>244</v>
      </c>
      <c r="E332" s="240">
        <f t="shared" si="21"/>
        <v>52601</v>
      </c>
      <c r="F332" s="241">
        <f t="shared" si="22"/>
        <v>52065.884175501778</v>
      </c>
      <c r="G332" s="241">
        <f t="shared" si="23"/>
        <v>22989.168174635259</v>
      </c>
      <c r="H332" s="241">
        <f t="shared" si="24"/>
        <v>29076.71600086652</v>
      </c>
      <c r="I332" s="242">
        <f t="shared" si="25"/>
        <v>4605509.4840671634</v>
      </c>
      <c r="J332" s="230"/>
      <c r="K332" s="231"/>
    </row>
    <row r="333" spans="2:11" ht="18">
      <c r="B333" s="228"/>
      <c r="C333" s="232"/>
      <c r="D333" s="239">
        <v>245</v>
      </c>
      <c r="E333" s="240">
        <f t="shared" si="21"/>
        <v>52632</v>
      </c>
      <c r="F333" s="241">
        <f t="shared" si="22"/>
        <v>52065.884175501778</v>
      </c>
      <c r="G333" s="241">
        <f t="shared" si="23"/>
        <v>22844.026900597601</v>
      </c>
      <c r="H333" s="241">
        <f t="shared" si="24"/>
        <v>29221.857274904178</v>
      </c>
      <c r="I333" s="242">
        <f t="shared" si="25"/>
        <v>4576432.7680662973</v>
      </c>
      <c r="J333" s="230"/>
      <c r="K333" s="231"/>
    </row>
    <row r="334" spans="2:11" ht="18">
      <c r="B334" s="228"/>
      <c r="C334" s="232"/>
      <c r="D334" s="239">
        <v>246</v>
      </c>
      <c r="E334" s="240">
        <f t="shared" si="21"/>
        <v>52661</v>
      </c>
      <c r="F334" s="241">
        <f t="shared" si="22"/>
        <v>52065.884175501764</v>
      </c>
      <c r="G334" s="241">
        <f t="shared" si="23"/>
        <v>22698.161129700373</v>
      </c>
      <c r="H334" s="241">
        <f t="shared" si="24"/>
        <v>29367.723045801391</v>
      </c>
      <c r="I334" s="242">
        <f t="shared" si="25"/>
        <v>4547210.9107913934</v>
      </c>
      <c r="J334" s="230"/>
      <c r="K334" s="231"/>
    </row>
    <row r="335" spans="2:11" ht="18">
      <c r="B335" s="228"/>
      <c r="C335" s="232"/>
      <c r="D335" s="239">
        <v>247</v>
      </c>
      <c r="E335" s="240">
        <f t="shared" si="21"/>
        <v>52692</v>
      </c>
      <c r="F335" s="241">
        <f t="shared" si="22"/>
        <v>52065.884175501778</v>
      </c>
      <c r="G335" s="241">
        <f t="shared" si="23"/>
        <v>22551.567245496746</v>
      </c>
      <c r="H335" s="241">
        <f t="shared" si="24"/>
        <v>29514.316930005032</v>
      </c>
      <c r="I335" s="242">
        <f t="shared" si="25"/>
        <v>4517843.1877455916</v>
      </c>
      <c r="J335" s="230"/>
      <c r="K335" s="231"/>
    </row>
    <row r="336" spans="2:11" ht="18">
      <c r="B336" s="228"/>
      <c r="C336" s="232"/>
      <c r="D336" s="239">
        <v>248</v>
      </c>
      <c r="E336" s="240">
        <f t="shared" si="21"/>
        <v>52722</v>
      </c>
      <c r="F336" s="241">
        <f t="shared" si="22"/>
        <v>52065.884175501771</v>
      </c>
      <c r="G336" s="241">
        <f t="shared" si="23"/>
        <v>22404.241613487804</v>
      </c>
      <c r="H336" s="241">
        <f t="shared" si="24"/>
        <v>29661.642562013967</v>
      </c>
      <c r="I336" s="242">
        <f t="shared" si="25"/>
        <v>4488328.8708155863</v>
      </c>
      <c r="J336" s="230"/>
      <c r="K336" s="231"/>
    </row>
    <row r="337" spans="2:11" ht="18">
      <c r="B337" s="228"/>
      <c r="C337" s="232"/>
      <c r="D337" s="239">
        <v>249</v>
      </c>
      <c r="E337" s="240">
        <f t="shared" si="21"/>
        <v>52753</v>
      </c>
      <c r="F337" s="241">
        <f t="shared" si="22"/>
        <v>52065.884175501771</v>
      </c>
      <c r="G337" s="241">
        <f t="shared" si="23"/>
        <v>22256.180581032415</v>
      </c>
      <c r="H337" s="241">
        <f t="shared" si="24"/>
        <v>29809.703594469356</v>
      </c>
      <c r="I337" s="242">
        <f t="shared" si="25"/>
        <v>4458667.2282535722</v>
      </c>
      <c r="J337" s="230"/>
      <c r="K337" s="231"/>
    </row>
    <row r="338" spans="2:11" ht="18">
      <c r="B338" s="228"/>
      <c r="C338" s="232"/>
      <c r="D338" s="239">
        <v>250</v>
      </c>
      <c r="E338" s="240">
        <f t="shared" si="21"/>
        <v>52783</v>
      </c>
      <c r="F338" s="241">
        <f t="shared" si="22"/>
        <v>52065.884175501778</v>
      </c>
      <c r="G338" s="241">
        <f t="shared" si="23"/>
        <v>22107.380477256687</v>
      </c>
      <c r="H338" s="241">
        <f t="shared" si="24"/>
        <v>29958.503698245091</v>
      </c>
      <c r="I338" s="242">
        <f t="shared" si="25"/>
        <v>4428857.5246591028</v>
      </c>
      <c r="J338" s="230"/>
      <c r="K338" s="231"/>
    </row>
    <row r="339" spans="2:11" ht="18">
      <c r="B339" s="228"/>
      <c r="C339" s="232"/>
      <c r="D339" s="239">
        <v>251</v>
      </c>
      <c r="E339" s="240">
        <f t="shared" si="21"/>
        <v>52814</v>
      </c>
      <c r="F339" s="241">
        <f t="shared" si="22"/>
        <v>52065.884175501764</v>
      </c>
      <c r="G339" s="241">
        <f t="shared" si="23"/>
        <v>21957.837612962951</v>
      </c>
      <c r="H339" s="241">
        <f t="shared" si="24"/>
        <v>30108.046562538813</v>
      </c>
      <c r="I339" s="242">
        <f t="shared" si="25"/>
        <v>4398899.0209608581</v>
      </c>
      <c r="J339" s="230"/>
      <c r="K339" s="231"/>
    </row>
    <row r="340" spans="2:11" ht="18">
      <c r="B340" s="228"/>
      <c r="C340" s="232"/>
      <c r="D340" s="239">
        <v>252</v>
      </c>
      <c r="E340" s="240">
        <f t="shared" si="21"/>
        <v>52845</v>
      </c>
      <c r="F340" s="241">
        <f t="shared" si="22"/>
        <v>52065.884175501786</v>
      </c>
      <c r="G340" s="241">
        <f t="shared" si="23"/>
        <v>21807.548280538278</v>
      </c>
      <c r="H340" s="241">
        <f t="shared" si="24"/>
        <v>30258.335894963508</v>
      </c>
      <c r="I340" s="242">
        <f t="shared" si="25"/>
        <v>4368790.9743983196</v>
      </c>
      <c r="J340" s="230"/>
      <c r="K340" s="231"/>
    </row>
    <row r="341" spans="2:11" ht="18">
      <c r="B341" s="228"/>
      <c r="C341" s="232"/>
      <c r="D341" s="239">
        <v>253</v>
      </c>
      <c r="E341" s="240">
        <f t="shared" si="21"/>
        <v>52875</v>
      </c>
      <c r="F341" s="241">
        <f t="shared" si="22"/>
        <v>52065.884175501786</v>
      </c>
      <c r="G341" s="241">
        <f t="shared" si="23"/>
        <v>21656.508753862585</v>
      </c>
      <c r="H341" s="241">
        <f t="shared" si="24"/>
        <v>30409.375421639201</v>
      </c>
      <c r="I341" s="242">
        <f t="shared" si="25"/>
        <v>4338532.6385033559</v>
      </c>
      <c r="J341" s="230"/>
      <c r="K341" s="231"/>
    </row>
    <row r="342" spans="2:11" ht="18">
      <c r="B342" s="228"/>
      <c r="C342" s="232"/>
      <c r="D342" s="239">
        <v>254</v>
      </c>
      <c r="E342" s="240">
        <f t="shared" si="21"/>
        <v>52906</v>
      </c>
      <c r="F342" s="241">
        <f t="shared" si="22"/>
        <v>52065.884175501771</v>
      </c>
      <c r="G342" s="241">
        <f t="shared" si="23"/>
        <v>21504.715288216234</v>
      </c>
      <c r="H342" s="241">
        <f t="shared" si="24"/>
        <v>30561.168887285537</v>
      </c>
      <c r="I342" s="242">
        <f t="shared" si="25"/>
        <v>4308123.2630817164</v>
      </c>
      <c r="J342" s="230"/>
      <c r="K342" s="231"/>
    </row>
    <row r="343" spans="2:11" ht="18">
      <c r="B343" s="228"/>
      <c r="C343" s="232"/>
      <c r="D343" s="239">
        <v>255</v>
      </c>
      <c r="E343" s="240">
        <f t="shared" si="21"/>
        <v>52936</v>
      </c>
      <c r="F343" s="241">
        <f t="shared" si="22"/>
        <v>52065.884175501793</v>
      </c>
      <c r="G343" s="241">
        <f t="shared" si="23"/>
        <v>21352.164120187201</v>
      </c>
      <c r="H343" s="241">
        <f t="shared" si="24"/>
        <v>30713.720055314592</v>
      </c>
      <c r="I343" s="242">
        <f t="shared" si="25"/>
        <v>4277562.0941944309</v>
      </c>
      <c r="J343" s="230"/>
      <c r="K343" s="231"/>
    </row>
    <row r="344" spans="2:11" ht="18">
      <c r="B344" s="228"/>
      <c r="C344" s="232"/>
      <c r="D344" s="239">
        <v>256</v>
      </c>
      <c r="E344" s="240">
        <f t="shared" si="21"/>
        <v>52967</v>
      </c>
      <c r="F344" s="241">
        <f t="shared" si="22"/>
        <v>52065.884175501786</v>
      </c>
      <c r="G344" s="241">
        <f t="shared" si="23"/>
        <v>21198.851467577755</v>
      </c>
      <c r="H344" s="241">
        <f t="shared" si="24"/>
        <v>30867.032707924031</v>
      </c>
      <c r="I344" s="242">
        <f t="shared" si="25"/>
        <v>4246848.3741391161</v>
      </c>
      <c r="J344" s="230"/>
      <c r="K344" s="231"/>
    </row>
    <row r="345" spans="2:11" ht="18">
      <c r="B345" s="228"/>
      <c r="C345" s="232"/>
      <c r="D345" s="239">
        <v>257</v>
      </c>
      <c r="E345" s="240">
        <f t="shared" si="21"/>
        <v>52998</v>
      </c>
      <c r="F345" s="241">
        <f t="shared" si="22"/>
        <v>52065.8841755018</v>
      </c>
      <c r="G345" s="241">
        <f t="shared" si="23"/>
        <v>21044.7735293107</v>
      </c>
      <c r="H345" s="241">
        <f t="shared" si="24"/>
        <v>31021.1106461911</v>
      </c>
      <c r="I345" s="242">
        <f t="shared" si="25"/>
        <v>4215981.3414311921</v>
      </c>
      <c r="J345" s="230"/>
      <c r="K345" s="231"/>
    </row>
    <row r="346" spans="2:11" ht="18">
      <c r="B346" s="228"/>
      <c r="C346" s="232"/>
      <c r="D346" s="239">
        <v>258</v>
      </c>
      <c r="E346" s="240">
        <f t="shared" si="21"/>
        <v>53026</v>
      </c>
      <c r="F346" s="241">
        <f t="shared" si="22"/>
        <v>52065.884175501778</v>
      </c>
      <c r="G346" s="241">
        <f t="shared" si="23"/>
        <v>20889.926485335131</v>
      </c>
      <c r="H346" s="241">
        <f t="shared" si="24"/>
        <v>31175.957690166648</v>
      </c>
      <c r="I346" s="242">
        <f t="shared" si="25"/>
        <v>4184960.2307850011</v>
      </c>
      <c r="J346" s="230"/>
      <c r="K346" s="231"/>
    </row>
    <row r="347" spans="2:11" ht="18">
      <c r="B347" s="228"/>
      <c r="C347" s="232"/>
      <c r="D347" s="239">
        <v>259</v>
      </c>
      <c r="E347" s="240">
        <f t="shared" ref="E347:E410" si="26">DATE(YEAR($E346),MONTH($E346)+1,DAY($E346))</f>
        <v>53057</v>
      </c>
      <c r="F347" s="241">
        <f t="shared" ref="F347:F410" si="27">IFERROR(((I347))*($H$86/12)/(1-(1+($H$86/12))^-($E$26-D346)),"")</f>
        <v>52065.884175501778</v>
      </c>
      <c r="G347" s="241">
        <f t="shared" ref="G347:G410" si="28">IFERROR((IF(I347&gt;0,(I347*($H$86/12)),"")),"")</f>
        <v>20734.306496531713</v>
      </c>
      <c r="H347" s="241">
        <f t="shared" ref="H347:H410" si="29">IFERROR((F347-G347),"")</f>
        <v>31331.577678970065</v>
      </c>
      <c r="I347" s="242">
        <f t="shared" ref="I347:I410" si="30">IFERROR((IF(D347&gt;$E$26,0,I346-H346)),"")</f>
        <v>4153784.2730948343</v>
      </c>
      <c r="J347" s="230"/>
      <c r="K347" s="231"/>
    </row>
    <row r="348" spans="2:11" ht="18">
      <c r="B348" s="228"/>
      <c r="C348" s="232"/>
      <c r="D348" s="239">
        <v>260</v>
      </c>
      <c r="E348" s="240">
        <f t="shared" si="26"/>
        <v>53087</v>
      </c>
      <c r="F348" s="241">
        <f t="shared" si="27"/>
        <v>52065.884175501793</v>
      </c>
      <c r="G348" s="241">
        <f t="shared" si="28"/>
        <v>20577.909704617523</v>
      </c>
      <c r="H348" s="241">
        <f t="shared" si="29"/>
        <v>31487.97447088427</v>
      </c>
      <c r="I348" s="242">
        <f t="shared" si="30"/>
        <v>4122452.6954158642</v>
      </c>
      <c r="J348" s="230"/>
      <c r="K348" s="231"/>
    </row>
    <row r="349" spans="2:11" ht="18">
      <c r="B349" s="228"/>
      <c r="C349" s="232"/>
      <c r="D349" s="239">
        <v>261</v>
      </c>
      <c r="E349" s="240">
        <f t="shared" si="26"/>
        <v>53118</v>
      </c>
      <c r="F349" s="241">
        <f t="shared" si="27"/>
        <v>52065.884175501793</v>
      </c>
      <c r="G349" s="241">
        <f t="shared" si="28"/>
        <v>20420.732232050359</v>
      </c>
      <c r="H349" s="241">
        <f t="shared" si="29"/>
        <v>31645.151943451434</v>
      </c>
      <c r="I349" s="242">
        <f t="shared" si="30"/>
        <v>4090964.7209449802</v>
      </c>
      <c r="J349" s="230"/>
      <c r="K349" s="231"/>
    </row>
    <row r="350" spans="2:11" ht="18">
      <c r="B350" s="228"/>
      <c r="C350" s="232"/>
      <c r="D350" s="239">
        <v>262</v>
      </c>
      <c r="E350" s="240">
        <f t="shared" si="26"/>
        <v>53148</v>
      </c>
      <c r="F350" s="241">
        <f t="shared" si="27"/>
        <v>52065.884175501793</v>
      </c>
      <c r="G350" s="241">
        <f t="shared" si="28"/>
        <v>20262.770181932632</v>
      </c>
      <c r="H350" s="241">
        <f t="shared" si="29"/>
        <v>31803.113993569161</v>
      </c>
      <c r="I350" s="242">
        <f t="shared" si="30"/>
        <v>4059319.5690015289</v>
      </c>
      <c r="J350" s="230"/>
      <c r="K350" s="231"/>
    </row>
    <row r="351" spans="2:11" ht="18">
      <c r="B351" s="228"/>
      <c r="C351" s="232"/>
      <c r="D351" s="239">
        <v>263</v>
      </c>
      <c r="E351" s="240">
        <f t="shared" si="26"/>
        <v>53179</v>
      </c>
      <c r="F351" s="241">
        <f t="shared" si="27"/>
        <v>52065.8841755018</v>
      </c>
      <c r="G351" s="241">
        <f t="shared" si="28"/>
        <v>20104.019637914731</v>
      </c>
      <c r="H351" s="241">
        <f t="shared" si="29"/>
        <v>31961.864537587069</v>
      </c>
      <c r="I351" s="242">
        <f t="shared" si="30"/>
        <v>4027516.4550079596</v>
      </c>
      <c r="J351" s="230"/>
      <c r="K351" s="231"/>
    </row>
    <row r="352" spans="2:11" ht="18">
      <c r="B352" s="228"/>
      <c r="C352" s="232"/>
      <c r="D352" s="239">
        <v>264</v>
      </c>
      <c r="E352" s="240">
        <f t="shared" si="26"/>
        <v>53210</v>
      </c>
      <c r="F352" s="241">
        <f t="shared" si="27"/>
        <v>52065.884175501793</v>
      </c>
      <c r="G352" s="241">
        <f t="shared" si="28"/>
        <v>19944.476664097943</v>
      </c>
      <c r="H352" s="241">
        <f t="shared" si="29"/>
        <v>32121.40751140385</v>
      </c>
      <c r="I352" s="242">
        <f t="shared" si="30"/>
        <v>3995554.5904703727</v>
      </c>
      <c r="J352" s="230"/>
      <c r="K352" s="231"/>
    </row>
    <row r="353" spans="2:11" ht="18">
      <c r="B353" s="228"/>
      <c r="C353" s="232"/>
      <c r="D353" s="239">
        <v>265</v>
      </c>
      <c r="E353" s="240">
        <f t="shared" si="26"/>
        <v>53240</v>
      </c>
      <c r="F353" s="241">
        <f t="shared" si="27"/>
        <v>52065.884175501807</v>
      </c>
      <c r="G353" s="241">
        <f t="shared" si="28"/>
        <v>19784.137304936852</v>
      </c>
      <c r="H353" s="241">
        <f t="shared" si="29"/>
        <v>32281.746870564955</v>
      </c>
      <c r="I353" s="242">
        <f t="shared" si="30"/>
        <v>3963433.1829589689</v>
      </c>
      <c r="J353" s="230"/>
      <c r="K353" s="231"/>
    </row>
    <row r="354" spans="2:11" ht="18">
      <c r="B354" s="228"/>
      <c r="C354" s="232"/>
      <c r="D354" s="239">
        <v>266</v>
      </c>
      <c r="E354" s="240">
        <f t="shared" si="26"/>
        <v>53271</v>
      </c>
      <c r="F354" s="241">
        <f t="shared" si="27"/>
        <v>52065.884175501822</v>
      </c>
      <c r="G354" s="241">
        <f t="shared" si="28"/>
        <v>19622.997585141286</v>
      </c>
      <c r="H354" s="241">
        <f t="shared" si="29"/>
        <v>32442.886590360537</v>
      </c>
      <c r="I354" s="242">
        <f t="shared" si="30"/>
        <v>3931151.4360884042</v>
      </c>
      <c r="J354" s="230"/>
      <c r="K354" s="231"/>
    </row>
    <row r="355" spans="2:11" ht="18">
      <c r="B355" s="228"/>
      <c r="C355" s="232"/>
      <c r="D355" s="239">
        <v>267</v>
      </c>
      <c r="E355" s="240">
        <f t="shared" si="26"/>
        <v>53301</v>
      </c>
      <c r="F355" s="241">
        <f t="shared" si="27"/>
        <v>52065.884175501807</v>
      </c>
      <c r="G355" s="241">
        <f t="shared" si="28"/>
        <v>19461.053509577734</v>
      </c>
      <c r="H355" s="241">
        <f t="shared" si="29"/>
        <v>32604.830665924073</v>
      </c>
      <c r="I355" s="242">
        <f t="shared" si="30"/>
        <v>3898708.5494980435</v>
      </c>
      <c r="J355" s="230"/>
      <c r="K355" s="231"/>
    </row>
    <row r="356" spans="2:11" ht="18">
      <c r="B356" s="228"/>
      <c r="C356" s="232"/>
      <c r="D356" s="239">
        <v>268</v>
      </c>
      <c r="E356" s="240">
        <f t="shared" si="26"/>
        <v>53332</v>
      </c>
      <c r="F356" s="241">
        <f t="shared" si="27"/>
        <v>52065.884175501829</v>
      </c>
      <c r="G356" s="241">
        <f t="shared" si="28"/>
        <v>19298.301063170329</v>
      </c>
      <c r="H356" s="241">
        <f t="shared" si="29"/>
        <v>32767.5831123315</v>
      </c>
      <c r="I356" s="242">
        <f t="shared" si="30"/>
        <v>3866103.7188321194</v>
      </c>
      <c r="J356" s="230"/>
      <c r="K356" s="231"/>
    </row>
    <row r="357" spans="2:11" ht="18">
      <c r="B357" s="228"/>
      <c r="C357" s="232"/>
      <c r="D357" s="239">
        <v>269</v>
      </c>
      <c r="E357" s="240">
        <f t="shared" si="26"/>
        <v>53363</v>
      </c>
      <c r="F357" s="241">
        <f t="shared" si="27"/>
        <v>52065.884175501822</v>
      </c>
      <c r="G357" s="241">
        <f t="shared" si="28"/>
        <v>19134.736210801275</v>
      </c>
      <c r="H357" s="241">
        <f t="shared" si="29"/>
        <v>32931.147964700547</v>
      </c>
      <c r="I357" s="242">
        <f t="shared" si="30"/>
        <v>3833336.1357197878</v>
      </c>
      <c r="J357" s="230"/>
      <c r="K357" s="231"/>
    </row>
    <row r="358" spans="2:11" ht="18">
      <c r="B358" s="228"/>
      <c r="C358" s="232"/>
      <c r="D358" s="239">
        <v>270</v>
      </c>
      <c r="E358" s="240">
        <f t="shared" si="26"/>
        <v>53391</v>
      </c>
      <c r="F358" s="241">
        <f t="shared" si="27"/>
        <v>52065.884175501822</v>
      </c>
      <c r="G358" s="241">
        <f t="shared" si="28"/>
        <v>18970.354897210811</v>
      </c>
      <c r="H358" s="241">
        <f t="shared" si="29"/>
        <v>33095.529278291011</v>
      </c>
      <c r="I358" s="242">
        <f t="shared" si="30"/>
        <v>3800404.9877550872</v>
      </c>
      <c r="J358" s="230"/>
      <c r="K358" s="231"/>
    </row>
    <row r="359" spans="2:11" ht="18">
      <c r="B359" s="228"/>
      <c r="C359" s="232"/>
      <c r="D359" s="239">
        <v>271</v>
      </c>
      <c r="E359" s="240">
        <f t="shared" si="26"/>
        <v>53422</v>
      </c>
      <c r="F359" s="241">
        <f t="shared" si="27"/>
        <v>52065.884175501829</v>
      </c>
      <c r="G359" s="241">
        <f t="shared" si="28"/>
        <v>18805.153046896674</v>
      </c>
      <c r="H359" s="241">
        <f t="shared" si="29"/>
        <v>33260.731128605155</v>
      </c>
      <c r="I359" s="242">
        <f t="shared" si="30"/>
        <v>3767309.4584767963</v>
      </c>
      <c r="J359" s="230"/>
      <c r="K359" s="231"/>
    </row>
    <row r="360" spans="2:11" ht="18">
      <c r="B360" s="228"/>
      <c r="C360" s="232"/>
      <c r="D360" s="239">
        <v>272</v>
      </c>
      <c r="E360" s="240">
        <f t="shared" si="26"/>
        <v>53452</v>
      </c>
      <c r="F360" s="241">
        <f t="shared" si="27"/>
        <v>52065.884175501844</v>
      </c>
      <c r="G360" s="241">
        <f t="shared" si="28"/>
        <v>18639.126564013055</v>
      </c>
      <c r="H360" s="241">
        <f t="shared" si="29"/>
        <v>33426.757611488792</v>
      </c>
      <c r="I360" s="242">
        <f t="shared" si="30"/>
        <v>3734048.7273481912</v>
      </c>
      <c r="J360" s="230"/>
      <c r="K360" s="231"/>
    </row>
    <row r="361" spans="2:11" ht="18">
      <c r="B361" s="228"/>
      <c r="C361" s="232"/>
      <c r="D361" s="239">
        <v>273</v>
      </c>
      <c r="E361" s="240">
        <f t="shared" si="26"/>
        <v>53483</v>
      </c>
      <c r="F361" s="241">
        <f t="shared" si="27"/>
        <v>52065.884175501829</v>
      </c>
      <c r="G361" s="241">
        <f t="shared" si="28"/>
        <v>18472.27133226904</v>
      </c>
      <c r="H361" s="241">
        <f t="shared" si="29"/>
        <v>33593.61284323279</v>
      </c>
      <c r="I361" s="242">
        <f t="shared" si="30"/>
        <v>3700621.9697367023</v>
      </c>
      <c r="J361" s="230"/>
      <c r="K361" s="231"/>
    </row>
    <row r="362" spans="2:11" ht="18">
      <c r="B362" s="228"/>
      <c r="C362" s="232"/>
      <c r="D362" s="239">
        <v>274</v>
      </c>
      <c r="E362" s="240">
        <f t="shared" si="26"/>
        <v>53513</v>
      </c>
      <c r="F362" s="241">
        <f t="shared" si="27"/>
        <v>52065.884175501837</v>
      </c>
      <c r="G362" s="241">
        <f t="shared" si="28"/>
        <v>18304.583214826569</v>
      </c>
      <c r="H362" s="241">
        <f t="shared" si="29"/>
        <v>33761.300960675268</v>
      </c>
      <c r="I362" s="242">
        <f t="shared" si="30"/>
        <v>3667028.3568934696</v>
      </c>
      <c r="J362" s="230"/>
      <c r="K362" s="231"/>
    </row>
    <row r="363" spans="2:11" ht="18">
      <c r="B363" s="228"/>
      <c r="C363" s="232"/>
      <c r="D363" s="239">
        <v>275</v>
      </c>
      <c r="E363" s="240">
        <f t="shared" si="26"/>
        <v>53544</v>
      </c>
      <c r="F363" s="241">
        <f t="shared" si="27"/>
        <v>52065.884175501829</v>
      </c>
      <c r="G363" s="241">
        <f t="shared" si="28"/>
        <v>18136.058054197863</v>
      </c>
      <c r="H363" s="241">
        <f t="shared" si="29"/>
        <v>33929.826121303966</v>
      </c>
      <c r="I363" s="242">
        <f t="shared" si="30"/>
        <v>3633267.0559327942</v>
      </c>
      <c r="J363" s="230"/>
      <c r="K363" s="231"/>
    </row>
    <row r="364" spans="2:11" ht="18">
      <c r="B364" s="228"/>
      <c r="C364" s="232"/>
      <c r="D364" s="239">
        <v>276</v>
      </c>
      <c r="E364" s="240">
        <f t="shared" si="26"/>
        <v>53575</v>
      </c>
      <c r="F364" s="241">
        <f t="shared" si="27"/>
        <v>52065.884175501844</v>
      </c>
      <c r="G364" s="241">
        <f t="shared" si="28"/>
        <v>17966.691672142355</v>
      </c>
      <c r="H364" s="241">
        <f t="shared" si="29"/>
        <v>34099.192503359489</v>
      </c>
      <c r="I364" s="242">
        <f t="shared" si="30"/>
        <v>3599337.22981149</v>
      </c>
      <c r="J364" s="230"/>
      <c r="K364" s="231"/>
    </row>
    <row r="365" spans="2:11" ht="18">
      <c r="B365" s="228"/>
      <c r="C365" s="232"/>
      <c r="D365" s="239">
        <v>277</v>
      </c>
      <c r="E365" s="240">
        <f t="shared" si="26"/>
        <v>53605</v>
      </c>
      <c r="F365" s="241">
        <f t="shared" si="27"/>
        <v>52065.884175501844</v>
      </c>
      <c r="G365" s="241">
        <f t="shared" si="28"/>
        <v>17796.479869563085</v>
      </c>
      <c r="H365" s="241">
        <f t="shared" si="29"/>
        <v>34269.404305938762</v>
      </c>
      <c r="I365" s="242">
        <f t="shared" si="30"/>
        <v>3565238.0373081304</v>
      </c>
      <c r="J365" s="230"/>
      <c r="K365" s="231"/>
    </row>
    <row r="366" spans="2:11" ht="18">
      <c r="B366" s="228"/>
      <c r="C366" s="232"/>
      <c r="D366" s="239">
        <v>278</v>
      </c>
      <c r="E366" s="240">
        <f t="shared" si="26"/>
        <v>53636</v>
      </c>
      <c r="F366" s="241">
        <f t="shared" si="27"/>
        <v>52065.884175501822</v>
      </c>
      <c r="G366" s="241">
        <f t="shared" si="28"/>
        <v>17625.418426402608</v>
      </c>
      <c r="H366" s="241">
        <f t="shared" si="29"/>
        <v>34440.46574909921</v>
      </c>
      <c r="I366" s="242">
        <f t="shared" si="30"/>
        <v>3530968.6330021918</v>
      </c>
      <c r="J366" s="230"/>
      <c r="K366" s="231"/>
    </row>
    <row r="367" spans="2:11" ht="18">
      <c r="B367" s="228"/>
      <c r="C367" s="232"/>
      <c r="D367" s="239">
        <v>279</v>
      </c>
      <c r="E367" s="240">
        <f t="shared" si="26"/>
        <v>53666</v>
      </c>
      <c r="F367" s="241">
        <f t="shared" si="27"/>
        <v>52065.884175501851</v>
      </c>
      <c r="G367" s="241">
        <f t="shared" si="28"/>
        <v>17453.503101538354</v>
      </c>
      <c r="H367" s="241">
        <f t="shared" si="29"/>
        <v>34612.381073963494</v>
      </c>
      <c r="I367" s="242">
        <f t="shared" si="30"/>
        <v>3496528.1672530924</v>
      </c>
      <c r="J367" s="230"/>
      <c r="K367" s="231"/>
    </row>
    <row r="368" spans="2:11" ht="18">
      <c r="B368" s="228"/>
      <c r="C368" s="232"/>
      <c r="D368" s="239">
        <v>280</v>
      </c>
      <c r="E368" s="240">
        <f t="shared" si="26"/>
        <v>53697</v>
      </c>
      <c r="F368" s="241">
        <f t="shared" si="27"/>
        <v>52065.884175501829</v>
      </c>
      <c r="G368" s="241">
        <f t="shared" si="28"/>
        <v>17280.729632677485</v>
      </c>
      <c r="H368" s="241">
        <f t="shared" si="29"/>
        <v>34785.154542824341</v>
      </c>
      <c r="I368" s="242">
        <f t="shared" si="30"/>
        <v>3461915.786179129</v>
      </c>
      <c r="J368" s="230"/>
      <c r="K368" s="231"/>
    </row>
    <row r="369" spans="2:11" ht="18">
      <c r="B369" s="228"/>
      <c r="C369" s="232"/>
      <c r="D369" s="239">
        <v>281</v>
      </c>
      <c r="E369" s="240">
        <f t="shared" si="26"/>
        <v>53728</v>
      </c>
      <c r="F369" s="241">
        <f t="shared" si="27"/>
        <v>52065.884175501851</v>
      </c>
      <c r="G369" s="241">
        <f t="shared" si="28"/>
        <v>17107.093736251223</v>
      </c>
      <c r="H369" s="241">
        <f t="shared" si="29"/>
        <v>34958.790439250632</v>
      </c>
      <c r="I369" s="242">
        <f t="shared" si="30"/>
        <v>3427130.6316363048</v>
      </c>
      <c r="J369" s="230"/>
      <c r="K369" s="231"/>
    </row>
    <row r="370" spans="2:11" ht="18">
      <c r="B370" s="228"/>
      <c r="C370" s="232"/>
      <c r="D370" s="239">
        <v>282</v>
      </c>
      <c r="E370" s="240">
        <f t="shared" si="26"/>
        <v>53756</v>
      </c>
      <c r="F370" s="241">
        <f t="shared" si="27"/>
        <v>52065.884175501844</v>
      </c>
      <c r="G370" s="241">
        <f t="shared" si="28"/>
        <v>16932.591107308632</v>
      </c>
      <c r="H370" s="241">
        <f t="shared" si="29"/>
        <v>35133.293068193212</v>
      </c>
      <c r="I370" s="242">
        <f t="shared" si="30"/>
        <v>3392171.8411970544</v>
      </c>
      <c r="J370" s="230"/>
      <c r="K370" s="231"/>
    </row>
    <row r="371" spans="2:11" ht="18">
      <c r="B371" s="228"/>
      <c r="C371" s="232"/>
      <c r="D371" s="239">
        <v>283</v>
      </c>
      <c r="E371" s="240">
        <f t="shared" si="26"/>
        <v>53787</v>
      </c>
      <c r="F371" s="241">
        <f t="shared" si="27"/>
        <v>52065.884175501829</v>
      </c>
      <c r="G371" s="241">
        <f t="shared" si="28"/>
        <v>16757.217419409899</v>
      </c>
      <c r="H371" s="241">
        <f t="shared" si="29"/>
        <v>35308.66675609193</v>
      </c>
      <c r="I371" s="242">
        <f t="shared" si="30"/>
        <v>3357038.548128861</v>
      </c>
      <c r="J371" s="230"/>
      <c r="K371" s="231"/>
    </row>
    <row r="372" spans="2:11" ht="18">
      <c r="B372" s="228"/>
      <c r="C372" s="232"/>
      <c r="D372" s="239">
        <v>284</v>
      </c>
      <c r="E372" s="240">
        <f t="shared" si="26"/>
        <v>53817</v>
      </c>
      <c r="F372" s="241">
        <f t="shared" si="27"/>
        <v>52065.884175501851</v>
      </c>
      <c r="G372" s="241">
        <f t="shared" si="28"/>
        <v>16580.968324519072</v>
      </c>
      <c r="H372" s="241">
        <f t="shared" si="29"/>
        <v>35484.915850982783</v>
      </c>
      <c r="I372" s="242">
        <f t="shared" si="30"/>
        <v>3321729.8813727689</v>
      </c>
      <c r="J372" s="230"/>
      <c r="K372" s="231"/>
    </row>
    <row r="373" spans="2:11" ht="18">
      <c r="B373" s="228"/>
      <c r="C373" s="232"/>
      <c r="D373" s="239">
        <v>285</v>
      </c>
      <c r="E373" s="240">
        <f t="shared" si="26"/>
        <v>53848</v>
      </c>
      <c r="F373" s="241">
        <f t="shared" si="27"/>
        <v>52065.884175501858</v>
      </c>
      <c r="G373" s="241">
        <f t="shared" si="28"/>
        <v>16403.839452896249</v>
      </c>
      <c r="H373" s="241">
        <f t="shared" si="29"/>
        <v>35662.044722605613</v>
      </c>
      <c r="I373" s="242">
        <f t="shared" si="30"/>
        <v>3286244.9655217859</v>
      </c>
      <c r="J373" s="230"/>
      <c r="K373" s="231"/>
    </row>
    <row r="374" spans="2:11" ht="18">
      <c r="B374" s="228"/>
      <c r="C374" s="232"/>
      <c r="D374" s="239">
        <v>286</v>
      </c>
      <c r="E374" s="240">
        <f t="shared" si="26"/>
        <v>53878</v>
      </c>
      <c r="F374" s="241">
        <f t="shared" si="27"/>
        <v>52065.884175501844</v>
      </c>
      <c r="G374" s="241">
        <f t="shared" si="28"/>
        <v>16225.826412989243</v>
      </c>
      <c r="H374" s="241">
        <f t="shared" si="29"/>
        <v>35840.057762512602</v>
      </c>
      <c r="I374" s="242">
        <f t="shared" si="30"/>
        <v>3250582.9207991804</v>
      </c>
      <c r="J374" s="230"/>
      <c r="K374" s="231"/>
    </row>
    <row r="375" spans="2:11" ht="18">
      <c r="B375" s="228"/>
      <c r="C375" s="232"/>
      <c r="D375" s="239">
        <v>287</v>
      </c>
      <c r="E375" s="240">
        <f t="shared" si="26"/>
        <v>53909</v>
      </c>
      <c r="F375" s="241">
        <f t="shared" si="27"/>
        <v>52065.88417550188</v>
      </c>
      <c r="G375" s="241">
        <f t="shared" si="28"/>
        <v>16046.924791324702</v>
      </c>
      <c r="H375" s="241">
        <f t="shared" si="29"/>
        <v>36018.959384177178</v>
      </c>
      <c r="I375" s="242">
        <f t="shared" si="30"/>
        <v>3214742.8630366679</v>
      </c>
      <c r="J375" s="230"/>
      <c r="K375" s="231"/>
    </row>
    <row r="376" spans="2:11" ht="18">
      <c r="B376" s="228"/>
      <c r="C376" s="232"/>
      <c r="D376" s="239">
        <v>288</v>
      </c>
      <c r="E376" s="240">
        <f t="shared" si="26"/>
        <v>53940</v>
      </c>
      <c r="F376" s="241">
        <f t="shared" si="27"/>
        <v>52065.884175501866</v>
      </c>
      <c r="G376" s="241">
        <f t="shared" si="28"/>
        <v>15867.130152398682</v>
      </c>
      <c r="H376" s="241">
        <f t="shared" si="29"/>
        <v>36198.754023103182</v>
      </c>
      <c r="I376" s="242">
        <f t="shared" si="30"/>
        <v>3178723.9036524906</v>
      </c>
      <c r="J376" s="230"/>
      <c r="K376" s="231"/>
    </row>
    <row r="377" spans="2:11" ht="18">
      <c r="B377" s="228"/>
      <c r="C377" s="232"/>
      <c r="D377" s="239">
        <v>289</v>
      </c>
      <c r="E377" s="240">
        <f t="shared" si="26"/>
        <v>53970</v>
      </c>
      <c r="F377" s="241">
        <f t="shared" si="27"/>
        <v>52065.884175501858</v>
      </c>
      <c r="G377" s="241">
        <f t="shared" si="28"/>
        <v>15686.438038566694</v>
      </c>
      <c r="H377" s="241">
        <f t="shared" si="29"/>
        <v>36379.446136935163</v>
      </c>
      <c r="I377" s="242">
        <f t="shared" si="30"/>
        <v>3142525.1496293875</v>
      </c>
      <c r="J377" s="230"/>
      <c r="K377" s="231"/>
    </row>
    <row r="378" spans="2:11" ht="18">
      <c r="B378" s="228"/>
      <c r="C378" s="232"/>
      <c r="D378" s="239">
        <v>290</v>
      </c>
      <c r="E378" s="240">
        <f t="shared" si="26"/>
        <v>54001</v>
      </c>
      <c r="F378" s="241">
        <f t="shared" si="27"/>
        <v>52065.884175501866</v>
      </c>
      <c r="G378" s="241">
        <f t="shared" si="28"/>
        <v>15504.843969933159</v>
      </c>
      <c r="H378" s="241">
        <f t="shared" si="29"/>
        <v>36561.040205568708</v>
      </c>
      <c r="I378" s="242">
        <f t="shared" si="30"/>
        <v>3106145.7034924524</v>
      </c>
      <c r="J378" s="230"/>
      <c r="K378" s="231"/>
    </row>
    <row r="379" spans="2:11" ht="18">
      <c r="B379" s="228"/>
      <c r="C379" s="232"/>
      <c r="D379" s="239">
        <v>291</v>
      </c>
      <c r="E379" s="240">
        <f t="shared" si="26"/>
        <v>54031</v>
      </c>
      <c r="F379" s="241">
        <f t="shared" si="27"/>
        <v>52065.88417550188</v>
      </c>
      <c r="G379" s="241">
        <f t="shared" si="28"/>
        <v>15322.343444240363</v>
      </c>
      <c r="H379" s="241">
        <f t="shared" si="29"/>
        <v>36743.540731261513</v>
      </c>
      <c r="I379" s="242">
        <f t="shared" si="30"/>
        <v>3069584.6632868838</v>
      </c>
      <c r="J379" s="230"/>
      <c r="K379" s="231"/>
    </row>
    <row r="380" spans="2:11" ht="18">
      <c r="B380" s="228"/>
      <c r="C380" s="232"/>
      <c r="D380" s="239">
        <v>292</v>
      </c>
      <c r="E380" s="240">
        <f t="shared" si="26"/>
        <v>54062</v>
      </c>
      <c r="F380" s="241">
        <f t="shared" si="27"/>
        <v>52065.884175501873</v>
      </c>
      <c r="G380" s="241">
        <f t="shared" si="28"/>
        <v>15138.931936756815</v>
      </c>
      <c r="H380" s="241">
        <f t="shared" si="29"/>
        <v>36926.952238745056</v>
      </c>
      <c r="I380" s="242">
        <f t="shared" si="30"/>
        <v>3032841.1225556224</v>
      </c>
      <c r="J380" s="230"/>
      <c r="K380" s="231"/>
    </row>
    <row r="381" spans="2:11" ht="18">
      <c r="B381" s="228"/>
      <c r="C381" s="232"/>
      <c r="D381" s="239">
        <v>293</v>
      </c>
      <c r="E381" s="240">
        <f t="shared" si="26"/>
        <v>54093</v>
      </c>
      <c r="F381" s="241">
        <f t="shared" si="27"/>
        <v>52065.884175501895</v>
      </c>
      <c r="G381" s="241">
        <f t="shared" si="28"/>
        <v>14954.604900165079</v>
      </c>
      <c r="H381" s="241">
        <f t="shared" si="29"/>
        <v>37111.279275336812</v>
      </c>
      <c r="I381" s="242">
        <f t="shared" si="30"/>
        <v>2995914.1703168773</v>
      </c>
      <c r="J381" s="230"/>
      <c r="K381" s="231"/>
    </row>
    <row r="382" spans="2:11" ht="18">
      <c r="B382" s="228"/>
      <c r="C382" s="232"/>
      <c r="D382" s="239">
        <v>294</v>
      </c>
      <c r="E382" s="240">
        <f t="shared" si="26"/>
        <v>54122</v>
      </c>
      <c r="F382" s="241">
        <f t="shared" si="27"/>
        <v>52065.88417550188</v>
      </c>
      <c r="G382" s="241">
        <f t="shared" si="28"/>
        <v>14769.357764449023</v>
      </c>
      <c r="H382" s="241">
        <f t="shared" si="29"/>
        <v>37296.526411052859</v>
      </c>
      <c r="I382" s="242">
        <f t="shared" si="30"/>
        <v>2958802.8910415405</v>
      </c>
      <c r="J382" s="230"/>
      <c r="K382" s="231"/>
    </row>
    <row r="383" spans="2:11" ht="18">
      <c r="B383" s="228"/>
      <c r="C383" s="232"/>
      <c r="D383" s="239">
        <v>295</v>
      </c>
      <c r="E383" s="240">
        <f t="shared" si="26"/>
        <v>54153</v>
      </c>
      <c r="F383" s="241">
        <f t="shared" si="27"/>
        <v>52065.884175501895</v>
      </c>
      <c r="G383" s="241">
        <f t="shared" si="28"/>
        <v>14583.185936780519</v>
      </c>
      <c r="H383" s="241">
        <f t="shared" si="29"/>
        <v>37482.698238721379</v>
      </c>
      <c r="I383" s="242">
        <f t="shared" si="30"/>
        <v>2921506.3646304877</v>
      </c>
      <c r="J383" s="230"/>
      <c r="K383" s="231"/>
    </row>
    <row r="384" spans="2:11" ht="18">
      <c r="B384" s="228"/>
      <c r="C384" s="232"/>
      <c r="D384" s="239">
        <v>296</v>
      </c>
      <c r="E384" s="240">
        <f t="shared" si="26"/>
        <v>54183</v>
      </c>
      <c r="F384" s="241">
        <f t="shared" si="27"/>
        <v>52065.884175501873</v>
      </c>
      <c r="G384" s="241">
        <f t="shared" si="28"/>
        <v>14396.084801405566</v>
      </c>
      <c r="H384" s="241">
        <f t="shared" si="29"/>
        <v>37669.799374096307</v>
      </c>
      <c r="I384" s="242">
        <f t="shared" si="30"/>
        <v>2884023.6663917662</v>
      </c>
      <c r="J384" s="230"/>
      <c r="K384" s="231"/>
    </row>
    <row r="385" spans="2:11" ht="18">
      <c r="B385" s="228"/>
      <c r="C385" s="232"/>
      <c r="D385" s="239">
        <v>297</v>
      </c>
      <c r="E385" s="240">
        <f t="shared" si="26"/>
        <v>54214</v>
      </c>
      <c r="F385" s="241">
        <f t="shared" si="27"/>
        <v>52065.884175501909</v>
      </c>
      <c r="G385" s="241">
        <f t="shared" si="28"/>
        <v>14208.04971952987</v>
      </c>
      <c r="H385" s="241">
        <f t="shared" si="29"/>
        <v>37857.834455972043</v>
      </c>
      <c r="I385" s="242">
        <f t="shared" si="30"/>
        <v>2846353.8670176701</v>
      </c>
      <c r="J385" s="230"/>
      <c r="K385" s="231"/>
    </row>
    <row r="386" spans="2:11" ht="18">
      <c r="B386" s="228"/>
      <c r="C386" s="232"/>
      <c r="D386" s="239">
        <v>298</v>
      </c>
      <c r="E386" s="240">
        <f t="shared" si="26"/>
        <v>54244</v>
      </c>
      <c r="F386" s="241">
        <f t="shared" si="27"/>
        <v>52065.884175501902</v>
      </c>
      <c r="G386" s="241">
        <f t="shared" si="28"/>
        <v>14019.07602920381</v>
      </c>
      <c r="H386" s="241">
        <f t="shared" si="29"/>
        <v>38046.808146298092</v>
      </c>
      <c r="I386" s="242">
        <f t="shared" si="30"/>
        <v>2808496.032561698</v>
      </c>
      <c r="J386" s="230"/>
      <c r="K386" s="231"/>
    </row>
    <row r="387" spans="2:11" ht="18">
      <c r="B387" s="228"/>
      <c r="C387" s="232"/>
      <c r="D387" s="239">
        <v>299</v>
      </c>
      <c r="E387" s="240">
        <f t="shared" si="26"/>
        <v>54275</v>
      </c>
      <c r="F387" s="241">
        <f t="shared" si="27"/>
        <v>52065.88417550188</v>
      </c>
      <c r="G387" s="241">
        <f t="shared" si="28"/>
        <v>13829.159045206872</v>
      </c>
      <c r="H387" s="241">
        <f t="shared" si="29"/>
        <v>38236.72513029501</v>
      </c>
      <c r="I387" s="242">
        <f t="shared" si="30"/>
        <v>2770449.2244154001</v>
      </c>
      <c r="J387" s="230"/>
      <c r="K387" s="231"/>
    </row>
    <row r="388" spans="2:11" ht="18">
      <c r="B388" s="228"/>
      <c r="C388" s="232"/>
      <c r="D388" s="239">
        <v>300</v>
      </c>
      <c r="E388" s="240">
        <f t="shared" si="26"/>
        <v>54306</v>
      </c>
      <c r="F388" s="241">
        <f t="shared" si="27"/>
        <v>52065.884175501924</v>
      </c>
      <c r="G388" s="241">
        <f t="shared" si="28"/>
        <v>13638.294058931484</v>
      </c>
      <c r="H388" s="241">
        <f t="shared" si="29"/>
        <v>38427.590116570442</v>
      </c>
      <c r="I388" s="242">
        <f t="shared" si="30"/>
        <v>2732212.4992851052</v>
      </c>
      <c r="J388" s="230"/>
      <c r="K388" s="231"/>
    </row>
    <row r="389" spans="2:11" ht="18">
      <c r="B389" s="228"/>
      <c r="C389" s="232"/>
      <c r="D389" s="239">
        <v>301</v>
      </c>
      <c r="E389" s="240">
        <f t="shared" si="26"/>
        <v>54336</v>
      </c>
      <c r="F389" s="241">
        <f t="shared" si="27"/>
        <v>52065.884175501931</v>
      </c>
      <c r="G389" s="241">
        <f t="shared" si="28"/>
        <v>13446.476338266271</v>
      </c>
      <c r="H389" s="241">
        <f t="shared" si="29"/>
        <v>38619.40783723566</v>
      </c>
      <c r="I389" s="242">
        <f t="shared" si="30"/>
        <v>2693784.9091685349</v>
      </c>
      <c r="J389" s="230"/>
      <c r="K389" s="231"/>
    </row>
    <row r="390" spans="2:11" ht="18">
      <c r="B390" s="228"/>
      <c r="C390" s="232"/>
      <c r="D390" s="239">
        <v>302</v>
      </c>
      <c r="E390" s="240">
        <f t="shared" si="26"/>
        <v>54367</v>
      </c>
      <c r="F390" s="241">
        <f t="shared" si="27"/>
        <v>52065.884175501931</v>
      </c>
      <c r="G390" s="241">
        <f t="shared" si="28"/>
        <v>13253.701127478735</v>
      </c>
      <c r="H390" s="241">
        <f t="shared" si="29"/>
        <v>38812.183048023195</v>
      </c>
      <c r="I390" s="242">
        <f t="shared" si="30"/>
        <v>2655165.5013312991</v>
      </c>
      <c r="J390" s="230"/>
      <c r="K390" s="231"/>
    </row>
    <row r="391" spans="2:11" ht="18">
      <c r="B391" s="228"/>
      <c r="C391" s="232"/>
      <c r="D391" s="239">
        <v>303</v>
      </c>
      <c r="E391" s="240">
        <f t="shared" si="26"/>
        <v>54397</v>
      </c>
      <c r="F391" s="241">
        <f t="shared" si="27"/>
        <v>52065.884175501938</v>
      </c>
      <c r="G391" s="241">
        <f t="shared" si="28"/>
        <v>13059.963647097351</v>
      </c>
      <c r="H391" s="241">
        <f t="shared" si="29"/>
        <v>39005.920528404589</v>
      </c>
      <c r="I391" s="242">
        <f t="shared" si="30"/>
        <v>2616353.3182832757</v>
      </c>
      <c r="J391" s="230"/>
      <c r="K391" s="231"/>
    </row>
    <row r="392" spans="2:11" ht="18">
      <c r="B392" s="228"/>
      <c r="C392" s="232"/>
      <c r="D392" s="239">
        <v>304</v>
      </c>
      <c r="E392" s="240">
        <f t="shared" si="26"/>
        <v>54428</v>
      </c>
      <c r="F392" s="241">
        <f t="shared" si="27"/>
        <v>52065.884175501924</v>
      </c>
      <c r="G392" s="241">
        <f t="shared" si="28"/>
        <v>12865.259093793065</v>
      </c>
      <c r="H392" s="241">
        <f t="shared" si="29"/>
        <v>39200.625081708858</v>
      </c>
      <c r="I392" s="242">
        <f t="shared" si="30"/>
        <v>2577347.3977548713</v>
      </c>
      <c r="J392" s="230"/>
      <c r="K392" s="231"/>
    </row>
    <row r="393" spans="2:11" ht="18">
      <c r="B393" s="228"/>
      <c r="C393" s="232"/>
      <c r="D393" s="239">
        <v>305</v>
      </c>
      <c r="E393" s="240">
        <f t="shared" si="26"/>
        <v>54459</v>
      </c>
      <c r="F393" s="241">
        <f t="shared" si="27"/>
        <v>52065.884175501924</v>
      </c>
      <c r="G393" s="241">
        <f t="shared" si="28"/>
        <v>12669.582640260203</v>
      </c>
      <c r="H393" s="241">
        <f t="shared" si="29"/>
        <v>39396.301535241721</v>
      </c>
      <c r="I393" s="242">
        <f t="shared" si="30"/>
        <v>2538146.7726731626</v>
      </c>
      <c r="J393" s="230"/>
      <c r="K393" s="231"/>
    </row>
    <row r="394" spans="2:11" ht="18">
      <c r="B394" s="228"/>
      <c r="C394" s="232"/>
      <c r="D394" s="239">
        <v>306</v>
      </c>
      <c r="E394" s="240">
        <f t="shared" si="26"/>
        <v>54487</v>
      </c>
      <c r="F394" s="241">
        <f t="shared" si="27"/>
        <v>52065.884175501931</v>
      </c>
      <c r="G394" s="241">
        <f t="shared" si="28"/>
        <v>12472.929435096788</v>
      </c>
      <c r="H394" s="241">
        <f t="shared" si="29"/>
        <v>39592.954740405141</v>
      </c>
      <c r="I394" s="242">
        <f t="shared" si="30"/>
        <v>2498750.4711379209</v>
      </c>
      <c r="J394" s="230"/>
      <c r="K394" s="231"/>
    </row>
    <row r="395" spans="2:11" ht="18">
      <c r="B395" s="228"/>
      <c r="C395" s="232"/>
      <c r="D395" s="239">
        <v>307</v>
      </c>
      <c r="E395" s="240">
        <f t="shared" si="26"/>
        <v>54518</v>
      </c>
      <c r="F395" s="241">
        <f t="shared" si="27"/>
        <v>52065.884175501938</v>
      </c>
      <c r="G395" s="241">
        <f t="shared" si="28"/>
        <v>12275.294602684267</v>
      </c>
      <c r="H395" s="241">
        <f t="shared" si="29"/>
        <v>39790.589572817669</v>
      </c>
      <c r="I395" s="242">
        <f t="shared" si="30"/>
        <v>2459157.5163975158</v>
      </c>
      <c r="J395" s="230"/>
      <c r="K395" s="231"/>
    </row>
    <row r="396" spans="2:11" ht="18">
      <c r="B396" s="228"/>
      <c r="C396" s="232"/>
      <c r="D396" s="239">
        <v>308</v>
      </c>
      <c r="E396" s="240">
        <f t="shared" si="26"/>
        <v>54548</v>
      </c>
      <c r="F396" s="241">
        <f t="shared" si="27"/>
        <v>52065.884175501975</v>
      </c>
      <c r="G396" s="241">
        <f t="shared" si="28"/>
        <v>12076.67324306662</v>
      </c>
      <c r="H396" s="241">
        <f t="shared" si="29"/>
        <v>39989.210932435351</v>
      </c>
      <c r="I396" s="242">
        <f t="shared" si="30"/>
        <v>2419366.9268246982</v>
      </c>
      <c r="J396" s="230"/>
      <c r="K396" s="231"/>
    </row>
    <row r="397" spans="2:11" ht="18">
      <c r="B397" s="228"/>
      <c r="C397" s="232"/>
      <c r="D397" s="239">
        <v>309</v>
      </c>
      <c r="E397" s="240">
        <f t="shared" si="26"/>
        <v>54579</v>
      </c>
      <c r="F397" s="241">
        <f t="shared" si="27"/>
        <v>52065.884175501975</v>
      </c>
      <c r="G397" s="241">
        <f t="shared" si="28"/>
        <v>11877.060431828879</v>
      </c>
      <c r="H397" s="241">
        <f t="shared" si="29"/>
        <v>40188.8237436731</v>
      </c>
      <c r="I397" s="242">
        <f t="shared" si="30"/>
        <v>2379377.7158922628</v>
      </c>
      <c r="J397" s="230"/>
      <c r="K397" s="231"/>
    </row>
    <row r="398" spans="2:11" ht="18">
      <c r="B398" s="228"/>
      <c r="C398" s="232"/>
      <c r="D398" s="239">
        <v>310</v>
      </c>
      <c r="E398" s="240">
        <f t="shared" si="26"/>
        <v>54609</v>
      </c>
      <c r="F398" s="241">
        <f t="shared" si="27"/>
        <v>52065.884175501938</v>
      </c>
      <c r="G398" s="241">
        <f t="shared" si="28"/>
        <v>11676.451219975044</v>
      </c>
      <c r="H398" s="241">
        <f t="shared" si="29"/>
        <v>40389.432955526892</v>
      </c>
      <c r="I398" s="242">
        <f t="shared" si="30"/>
        <v>2339188.8921485897</v>
      </c>
      <c r="J398" s="230"/>
      <c r="K398" s="231"/>
    </row>
    <row r="399" spans="2:11" ht="18">
      <c r="B399" s="228"/>
      <c r="C399" s="232"/>
      <c r="D399" s="239">
        <v>311</v>
      </c>
      <c r="E399" s="240">
        <f t="shared" si="26"/>
        <v>54640</v>
      </c>
      <c r="F399" s="241">
        <f t="shared" si="27"/>
        <v>52065.884175501989</v>
      </c>
      <c r="G399" s="241">
        <f t="shared" si="28"/>
        <v>11474.840633805374</v>
      </c>
      <c r="H399" s="241">
        <f t="shared" si="29"/>
        <v>40591.043541696614</v>
      </c>
      <c r="I399" s="242">
        <f t="shared" si="30"/>
        <v>2298799.459193063</v>
      </c>
      <c r="J399" s="230"/>
      <c r="K399" s="231"/>
    </row>
    <row r="400" spans="2:11" ht="18">
      <c r="B400" s="228"/>
      <c r="C400" s="232"/>
      <c r="D400" s="239">
        <v>312</v>
      </c>
      <c r="E400" s="240">
        <f t="shared" si="26"/>
        <v>54671</v>
      </c>
      <c r="F400" s="241">
        <f t="shared" si="27"/>
        <v>52065.884175501975</v>
      </c>
      <c r="G400" s="241">
        <f t="shared" si="28"/>
        <v>11272.223674793071</v>
      </c>
      <c r="H400" s="241">
        <f t="shared" si="29"/>
        <v>40793.660500708902</v>
      </c>
      <c r="I400" s="242">
        <f t="shared" si="30"/>
        <v>2258208.4156513666</v>
      </c>
      <c r="J400" s="230"/>
      <c r="K400" s="231"/>
    </row>
    <row r="401" spans="2:11" ht="18">
      <c r="B401" s="228"/>
      <c r="C401" s="232"/>
      <c r="D401" s="239">
        <v>313</v>
      </c>
      <c r="E401" s="240">
        <f t="shared" si="26"/>
        <v>54701</v>
      </c>
      <c r="F401" s="241">
        <f t="shared" si="27"/>
        <v>52065.884175501982</v>
      </c>
      <c r="G401" s="241">
        <f t="shared" si="28"/>
        <v>11068.595319460366</v>
      </c>
      <c r="H401" s="241">
        <f t="shared" si="29"/>
        <v>40997.288856041618</v>
      </c>
      <c r="I401" s="242">
        <f t="shared" si="30"/>
        <v>2217414.7551506576</v>
      </c>
      <c r="J401" s="230"/>
      <c r="K401" s="231"/>
    </row>
    <row r="402" spans="2:11" ht="18">
      <c r="B402" s="228"/>
      <c r="C402" s="232"/>
      <c r="D402" s="239">
        <v>314</v>
      </c>
      <c r="E402" s="240">
        <f t="shared" si="26"/>
        <v>54732</v>
      </c>
      <c r="F402" s="241">
        <f t="shared" si="27"/>
        <v>52065.884175501982</v>
      </c>
      <c r="G402" s="241">
        <f t="shared" si="28"/>
        <v>10863.950519253958</v>
      </c>
      <c r="H402" s="241">
        <f t="shared" si="29"/>
        <v>41201.933656248024</v>
      </c>
      <c r="I402" s="242">
        <f t="shared" si="30"/>
        <v>2176417.466294616</v>
      </c>
      <c r="J402" s="230"/>
      <c r="K402" s="231"/>
    </row>
    <row r="403" spans="2:11" ht="18">
      <c r="B403" s="228"/>
      <c r="C403" s="232"/>
      <c r="D403" s="239">
        <v>315</v>
      </c>
      <c r="E403" s="240">
        <f t="shared" si="26"/>
        <v>54762</v>
      </c>
      <c r="F403" s="241">
        <f t="shared" si="27"/>
        <v>52065.884175501975</v>
      </c>
      <c r="G403" s="241">
        <f t="shared" si="28"/>
        <v>10658.284200419856</v>
      </c>
      <c r="H403" s="241">
        <f t="shared" si="29"/>
        <v>41407.599975082121</v>
      </c>
      <c r="I403" s="242">
        <f t="shared" si="30"/>
        <v>2135215.5326383682</v>
      </c>
      <c r="J403" s="230"/>
      <c r="K403" s="231"/>
    </row>
    <row r="404" spans="2:11" ht="18">
      <c r="B404" s="228"/>
      <c r="C404" s="232"/>
      <c r="D404" s="239">
        <v>316</v>
      </c>
      <c r="E404" s="240">
        <f t="shared" si="26"/>
        <v>54793</v>
      </c>
      <c r="F404" s="241">
        <f t="shared" si="27"/>
        <v>52065.884175502018</v>
      </c>
      <c r="G404" s="241">
        <f t="shared" si="28"/>
        <v>10451.59126387757</v>
      </c>
      <c r="H404" s="241">
        <f t="shared" si="29"/>
        <v>41614.292911624449</v>
      </c>
      <c r="I404" s="242">
        <f t="shared" si="30"/>
        <v>2093807.9326632861</v>
      </c>
      <c r="J404" s="230"/>
      <c r="K404" s="231"/>
    </row>
    <row r="405" spans="2:11" ht="18">
      <c r="B405" s="228"/>
      <c r="C405" s="232"/>
      <c r="D405" s="239">
        <v>317</v>
      </c>
      <c r="E405" s="240">
        <f t="shared" si="26"/>
        <v>54824</v>
      </c>
      <c r="F405" s="241">
        <f t="shared" si="27"/>
        <v>52065.884175502033</v>
      </c>
      <c r="G405" s="241">
        <f t="shared" si="28"/>
        <v>10243.86658509371</v>
      </c>
      <c r="H405" s="241">
        <f t="shared" si="29"/>
        <v>41822.017590408323</v>
      </c>
      <c r="I405" s="242">
        <f t="shared" si="30"/>
        <v>2052193.6397516616</v>
      </c>
      <c r="J405" s="230"/>
      <c r="K405" s="231"/>
    </row>
    <row r="406" spans="2:11" ht="18">
      <c r="B406" s="228"/>
      <c r="C406" s="232"/>
      <c r="D406" s="239">
        <v>318</v>
      </c>
      <c r="E406" s="240">
        <f t="shared" si="26"/>
        <v>54852</v>
      </c>
      <c r="F406" s="241">
        <f t="shared" si="27"/>
        <v>52065.884175502004</v>
      </c>
      <c r="G406" s="241">
        <f t="shared" si="28"/>
        <v>10035.105013954922</v>
      </c>
      <c r="H406" s="241">
        <f t="shared" si="29"/>
        <v>42030.779161547078</v>
      </c>
      <c r="I406" s="242">
        <f t="shared" si="30"/>
        <v>2010371.6221612534</v>
      </c>
      <c r="J406" s="230"/>
      <c r="K406" s="231"/>
    </row>
    <row r="407" spans="2:11" ht="18">
      <c r="B407" s="228"/>
      <c r="C407" s="232"/>
      <c r="D407" s="239">
        <v>319</v>
      </c>
      <c r="E407" s="240">
        <f t="shared" si="26"/>
        <v>54883</v>
      </c>
      <c r="F407" s="241">
        <f t="shared" si="27"/>
        <v>52065.884175502069</v>
      </c>
      <c r="G407" s="241">
        <f t="shared" si="28"/>
        <v>9825.3013746402012</v>
      </c>
      <c r="H407" s="241">
        <f t="shared" si="29"/>
        <v>42240.58280086187</v>
      </c>
      <c r="I407" s="242">
        <f t="shared" si="30"/>
        <v>1968340.8429997063</v>
      </c>
      <c r="J407" s="230"/>
      <c r="K407" s="231"/>
    </row>
    <row r="408" spans="2:11" ht="18">
      <c r="B408" s="228"/>
      <c r="C408" s="232"/>
      <c r="D408" s="239">
        <v>320</v>
      </c>
      <c r="E408" s="240">
        <f t="shared" si="26"/>
        <v>54913</v>
      </c>
      <c r="F408" s="241">
        <f t="shared" si="27"/>
        <v>52065.884175502033</v>
      </c>
      <c r="G408" s="241">
        <f t="shared" si="28"/>
        <v>9614.4504654925659</v>
      </c>
      <c r="H408" s="241">
        <f t="shared" si="29"/>
        <v>42451.433710009471</v>
      </c>
      <c r="I408" s="242">
        <f t="shared" si="30"/>
        <v>1926100.2601988444</v>
      </c>
      <c r="J408" s="230"/>
      <c r="K408" s="231"/>
    </row>
    <row r="409" spans="2:11" ht="18">
      <c r="B409" s="228"/>
      <c r="C409" s="232"/>
      <c r="D409" s="239">
        <v>321</v>
      </c>
      <c r="E409" s="240">
        <f t="shared" si="26"/>
        <v>54944</v>
      </c>
      <c r="F409" s="241">
        <f t="shared" si="27"/>
        <v>52065.884175502055</v>
      </c>
      <c r="G409" s="241">
        <f t="shared" si="28"/>
        <v>9402.5470588901007</v>
      </c>
      <c r="H409" s="241">
        <f t="shared" si="29"/>
        <v>42663.337116611954</v>
      </c>
      <c r="I409" s="242">
        <f t="shared" si="30"/>
        <v>1883648.8264888348</v>
      </c>
      <c r="J409" s="230"/>
      <c r="K409" s="231"/>
    </row>
    <row r="410" spans="2:11" ht="18">
      <c r="B410" s="228"/>
      <c r="C410" s="232"/>
      <c r="D410" s="239">
        <v>322</v>
      </c>
      <c r="E410" s="240">
        <f t="shared" si="26"/>
        <v>54974</v>
      </c>
      <c r="F410" s="241">
        <f t="shared" si="27"/>
        <v>52065.884175501997</v>
      </c>
      <c r="G410" s="241">
        <f t="shared" si="28"/>
        <v>9189.5859011163466</v>
      </c>
      <c r="H410" s="241">
        <f t="shared" si="29"/>
        <v>42876.298274385648</v>
      </c>
      <c r="I410" s="242">
        <f t="shared" si="30"/>
        <v>1840985.4893722229</v>
      </c>
      <c r="J410" s="230"/>
      <c r="K410" s="231"/>
    </row>
    <row r="411" spans="2:11" ht="18">
      <c r="B411" s="228"/>
      <c r="C411" s="232"/>
      <c r="D411" s="239">
        <v>323</v>
      </c>
      <c r="E411" s="240">
        <f t="shared" ref="E411:E474" si="31">DATE(YEAR($E410),MONTH($E410)+1,DAY($E410))</f>
        <v>55005</v>
      </c>
      <c r="F411" s="241">
        <f t="shared" ref="F411:F474" si="32">IFERROR(((I411))*($H$86/12)/(1-(1+($H$86/12))^-($E$26-D410)),"")</f>
        <v>52065.884175502026</v>
      </c>
      <c r="G411" s="241">
        <f t="shared" ref="G411:G474" si="33">IFERROR((IF(I411&gt;0,(I411*($H$86/12)),"")),"")</f>
        <v>8975.5617122300373</v>
      </c>
      <c r="H411" s="241">
        <f t="shared" ref="H411:H474" si="34">IFERROR((F411-G411),"")</f>
        <v>43090.322463271987</v>
      </c>
      <c r="I411" s="242">
        <f t="shared" ref="I411:I474" si="35">IFERROR((IF(D411&gt;$E$26,0,I410-H410)),"")</f>
        <v>1798109.1910978372</v>
      </c>
      <c r="J411" s="230"/>
      <c r="K411" s="231"/>
    </row>
    <row r="412" spans="2:11" ht="18">
      <c r="B412" s="228"/>
      <c r="C412" s="232"/>
      <c r="D412" s="239">
        <v>324</v>
      </c>
      <c r="E412" s="240">
        <f t="shared" si="31"/>
        <v>55036</v>
      </c>
      <c r="F412" s="241">
        <f t="shared" si="32"/>
        <v>52065.884175502091</v>
      </c>
      <c r="G412" s="241">
        <f t="shared" si="33"/>
        <v>8760.4691859342056</v>
      </c>
      <c r="H412" s="241">
        <f t="shared" si="34"/>
        <v>43305.414989567886</v>
      </c>
      <c r="I412" s="242">
        <f t="shared" si="35"/>
        <v>1755018.8686345653</v>
      </c>
      <c r="J412" s="230"/>
      <c r="K412" s="231"/>
    </row>
    <row r="413" spans="2:11" ht="18">
      <c r="B413" s="228"/>
      <c r="C413" s="232"/>
      <c r="D413" s="239">
        <v>325</v>
      </c>
      <c r="E413" s="240">
        <f t="shared" si="31"/>
        <v>55066</v>
      </c>
      <c r="F413" s="241">
        <f t="shared" si="32"/>
        <v>52065.88417550204</v>
      </c>
      <c r="G413" s="241">
        <f t="shared" si="33"/>
        <v>8544.3029894446117</v>
      </c>
      <c r="H413" s="241">
        <f t="shared" si="34"/>
        <v>43521.581186057432</v>
      </c>
      <c r="I413" s="242">
        <f t="shared" si="35"/>
        <v>1711713.4536449974</v>
      </c>
      <c r="J413" s="230"/>
      <c r="K413" s="231"/>
    </row>
    <row r="414" spans="2:11" ht="18">
      <c r="B414" s="228"/>
      <c r="C414" s="232"/>
      <c r="D414" s="239">
        <v>326</v>
      </c>
      <c r="E414" s="240">
        <f t="shared" si="31"/>
        <v>55097</v>
      </c>
      <c r="F414" s="241">
        <f t="shared" si="32"/>
        <v>52065.884175502033</v>
      </c>
      <c r="G414" s="241">
        <f t="shared" si="33"/>
        <v>8327.0577633575413</v>
      </c>
      <c r="H414" s="241">
        <f t="shared" si="34"/>
        <v>43738.826412144495</v>
      </c>
      <c r="I414" s="242">
        <f t="shared" si="35"/>
        <v>1668191.8724589399</v>
      </c>
      <c r="J414" s="230"/>
      <c r="K414" s="231"/>
    </row>
    <row r="415" spans="2:11" ht="18">
      <c r="B415" s="228"/>
      <c r="C415" s="232"/>
      <c r="D415" s="239">
        <v>327</v>
      </c>
      <c r="E415" s="240">
        <f t="shared" si="31"/>
        <v>55127</v>
      </c>
      <c r="F415" s="241">
        <f t="shared" si="32"/>
        <v>52065.884175502077</v>
      </c>
      <c r="G415" s="241">
        <f t="shared" si="33"/>
        <v>8108.7281215169205</v>
      </c>
      <c r="H415" s="241">
        <f t="shared" si="34"/>
        <v>43957.156053985156</v>
      </c>
      <c r="I415" s="242">
        <f t="shared" si="35"/>
        <v>1624453.0460467953</v>
      </c>
      <c r="J415" s="230"/>
      <c r="K415" s="231"/>
    </row>
    <row r="416" spans="2:11" ht="18">
      <c r="B416" s="228"/>
      <c r="C416" s="232"/>
      <c r="D416" s="239">
        <v>328</v>
      </c>
      <c r="E416" s="240">
        <f t="shared" si="31"/>
        <v>55158</v>
      </c>
      <c r="F416" s="241">
        <f t="shared" si="32"/>
        <v>52065.884175502055</v>
      </c>
      <c r="G416" s="241">
        <f t="shared" si="33"/>
        <v>7889.3086508807773</v>
      </c>
      <c r="H416" s="241">
        <f t="shared" si="34"/>
        <v>44176.575524621279</v>
      </c>
      <c r="I416" s="242">
        <f t="shared" si="35"/>
        <v>1580495.8899928101</v>
      </c>
      <c r="J416" s="230"/>
      <c r="K416" s="231"/>
    </row>
    <row r="417" spans="2:11" ht="18">
      <c r="B417" s="228"/>
      <c r="C417" s="232"/>
      <c r="D417" s="239">
        <v>329</v>
      </c>
      <c r="E417" s="240">
        <f t="shared" si="31"/>
        <v>55189</v>
      </c>
      <c r="F417" s="241">
        <f t="shared" si="32"/>
        <v>52065.884175502099</v>
      </c>
      <c r="G417" s="241">
        <f t="shared" si="33"/>
        <v>7668.7939113870434</v>
      </c>
      <c r="H417" s="241">
        <f t="shared" si="34"/>
        <v>44397.090264115053</v>
      </c>
      <c r="I417" s="242">
        <f t="shared" si="35"/>
        <v>1536319.3144681889</v>
      </c>
      <c r="J417" s="230"/>
      <c r="K417" s="231"/>
    </row>
    <row r="418" spans="2:11" ht="18">
      <c r="B418" s="228"/>
      <c r="C418" s="232"/>
      <c r="D418" s="239">
        <v>330</v>
      </c>
      <c r="E418" s="240">
        <f t="shared" si="31"/>
        <v>55217</v>
      </c>
      <c r="F418" s="241">
        <f t="shared" si="32"/>
        <v>52065.884175502106</v>
      </c>
      <c r="G418" s="241">
        <f t="shared" si="33"/>
        <v>7447.1784358186687</v>
      </c>
      <c r="H418" s="241">
        <f t="shared" si="34"/>
        <v>44618.705739683435</v>
      </c>
      <c r="I418" s="242">
        <f t="shared" si="35"/>
        <v>1491922.2242040739</v>
      </c>
      <c r="J418" s="230"/>
      <c r="K418" s="231"/>
    </row>
    <row r="419" spans="2:11" ht="18">
      <c r="B419" s="228"/>
      <c r="C419" s="232"/>
      <c r="D419" s="239">
        <v>331</v>
      </c>
      <c r="E419" s="240">
        <f t="shared" si="31"/>
        <v>55248</v>
      </c>
      <c r="F419" s="241">
        <f t="shared" si="32"/>
        <v>52065.884175502048</v>
      </c>
      <c r="G419" s="241">
        <f t="shared" si="33"/>
        <v>7224.4567296680825</v>
      </c>
      <c r="H419" s="241">
        <f t="shared" si="34"/>
        <v>44841.427445833964</v>
      </c>
      <c r="I419" s="242">
        <f t="shared" si="35"/>
        <v>1447303.5184643904</v>
      </c>
      <c r="J419" s="230"/>
      <c r="K419" s="231"/>
    </row>
    <row r="420" spans="2:11" ht="18">
      <c r="B420" s="228"/>
      <c r="C420" s="232"/>
      <c r="D420" s="239">
        <v>332</v>
      </c>
      <c r="E420" s="240">
        <f t="shared" si="31"/>
        <v>55278</v>
      </c>
      <c r="F420" s="241">
        <f t="shared" si="32"/>
        <v>52065.884175502113</v>
      </c>
      <c r="G420" s="241">
        <f t="shared" si="33"/>
        <v>7000.6232710009608</v>
      </c>
      <c r="H420" s="241">
        <f t="shared" si="34"/>
        <v>45065.260904501149</v>
      </c>
      <c r="I420" s="242">
        <f t="shared" si="35"/>
        <v>1402462.0910185564</v>
      </c>
      <c r="J420" s="230"/>
      <c r="K420" s="231"/>
    </row>
    <row r="421" spans="2:11" ht="18">
      <c r="B421" s="228"/>
      <c r="C421" s="232"/>
      <c r="D421" s="239">
        <v>333</v>
      </c>
      <c r="E421" s="240">
        <f t="shared" si="31"/>
        <v>55309</v>
      </c>
      <c r="F421" s="241">
        <f t="shared" si="32"/>
        <v>52065.884175502142</v>
      </c>
      <c r="G421" s="241">
        <f t="shared" si="33"/>
        <v>6775.6725103193257</v>
      </c>
      <c r="H421" s="241">
        <f t="shared" si="34"/>
        <v>45290.211665182818</v>
      </c>
      <c r="I421" s="242">
        <f t="shared" si="35"/>
        <v>1357396.8301140552</v>
      </c>
      <c r="J421" s="230"/>
      <c r="K421" s="231"/>
    </row>
    <row r="422" spans="2:11" ht="18">
      <c r="B422" s="228"/>
      <c r="C422" s="232"/>
      <c r="D422" s="239">
        <v>334</v>
      </c>
      <c r="E422" s="240">
        <f t="shared" si="31"/>
        <v>55339</v>
      </c>
      <c r="F422" s="241">
        <f t="shared" si="32"/>
        <v>52065.88417550212</v>
      </c>
      <c r="G422" s="241">
        <f t="shared" si="33"/>
        <v>6549.5988704239544</v>
      </c>
      <c r="H422" s="241">
        <f t="shared" si="34"/>
        <v>45516.285305078163</v>
      </c>
      <c r="I422" s="242">
        <f t="shared" si="35"/>
        <v>1312106.6184488724</v>
      </c>
      <c r="J422" s="230"/>
      <c r="K422" s="231"/>
    </row>
    <row r="423" spans="2:11" ht="18">
      <c r="B423" s="228"/>
      <c r="C423" s="232"/>
      <c r="D423" s="239">
        <v>335</v>
      </c>
      <c r="E423" s="240">
        <f t="shared" si="31"/>
        <v>55370</v>
      </c>
      <c r="F423" s="241">
        <f t="shared" si="32"/>
        <v>52065.884175502193</v>
      </c>
      <c r="G423" s="241">
        <f t="shared" si="33"/>
        <v>6322.3967462761066</v>
      </c>
      <c r="H423" s="241">
        <f t="shared" si="34"/>
        <v>45743.487429226087</v>
      </c>
      <c r="I423" s="242">
        <f t="shared" si="35"/>
        <v>1266590.3331437942</v>
      </c>
      <c r="J423" s="230"/>
      <c r="K423" s="231"/>
    </row>
    <row r="424" spans="2:11" ht="18">
      <c r="B424" s="228"/>
      <c r="C424" s="232"/>
      <c r="D424" s="239">
        <v>336</v>
      </c>
      <c r="E424" s="240">
        <f t="shared" si="31"/>
        <v>55401</v>
      </c>
      <c r="F424" s="241">
        <f t="shared" si="32"/>
        <v>52065.884175502164</v>
      </c>
      <c r="G424" s="241">
        <f t="shared" si="33"/>
        <v>6094.060504858553</v>
      </c>
      <c r="H424" s="241">
        <f t="shared" si="34"/>
        <v>45971.823670643615</v>
      </c>
      <c r="I424" s="242">
        <f t="shared" si="35"/>
        <v>1220846.8457145682</v>
      </c>
      <c r="J424" s="230"/>
      <c r="K424" s="231"/>
    </row>
    <row r="425" spans="2:11" ht="18">
      <c r="B425" s="228"/>
      <c r="C425" s="232"/>
      <c r="D425" s="239">
        <v>337</v>
      </c>
      <c r="E425" s="240">
        <f t="shared" si="31"/>
        <v>55431</v>
      </c>
      <c r="F425" s="241">
        <f t="shared" si="32"/>
        <v>52065.884175502186</v>
      </c>
      <c r="G425" s="241">
        <f t="shared" si="33"/>
        <v>5864.5844850359235</v>
      </c>
      <c r="H425" s="241">
        <f t="shared" si="34"/>
        <v>46201.299690466265</v>
      </c>
      <c r="I425" s="242">
        <f t="shared" si="35"/>
        <v>1174875.0220439245</v>
      </c>
      <c r="J425" s="230"/>
      <c r="K425" s="231"/>
    </row>
    <row r="426" spans="2:11" ht="18">
      <c r="B426" s="228"/>
      <c r="C426" s="232"/>
      <c r="D426" s="239">
        <v>338</v>
      </c>
      <c r="E426" s="240">
        <f t="shared" si="31"/>
        <v>55462</v>
      </c>
      <c r="F426" s="241">
        <f t="shared" si="32"/>
        <v>52065.884175502135</v>
      </c>
      <c r="G426" s="241">
        <f t="shared" si="33"/>
        <v>5633.9629974143454</v>
      </c>
      <c r="H426" s="241">
        <f t="shared" si="34"/>
        <v>46431.921178087789</v>
      </c>
      <c r="I426" s="242">
        <f t="shared" si="35"/>
        <v>1128673.7223534582</v>
      </c>
      <c r="J426" s="230"/>
      <c r="K426" s="231"/>
    </row>
    <row r="427" spans="2:11" ht="18">
      <c r="B427" s="228"/>
      <c r="C427" s="232"/>
      <c r="D427" s="239">
        <v>339</v>
      </c>
      <c r="E427" s="240">
        <f t="shared" si="31"/>
        <v>55492</v>
      </c>
      <c r="F427" s="241">
        <f t="shared" si="32"/>
        <v>52065.884175502157</v>
      </c>
      <c r="G427" s="241">
        <f t="shared" si="33"/>
        <v>5402.1903242003909</v>
      </c>
      <c r="H427" s="241">
        <f t="shared" si="34"/>
        <v>46663.693851301767</v>
      </c>
      <c r="I427" s="242">
        <f t="shared" si="35"/>
        <v>1082241.8011753703</v>
      </c>
      <c r="J427" s="230"/>
      <c r="K427" s="231"/>
    </row>
    <row r="428" spans="2:11" ht="18">
      <c r="B428" s="228"/>
      <c r="C428" s="232"/>
      <c r="D428" s="239">
        <v>340</v>
      </c>
      <c r="E428" s="240">
        <f t="shared" si="31"/>
        <v>55523</v>
      </c>
      <c r="F428" s="241">
        <f t="shared" si="32"/>
        <v>52065.884175502186</v>
      </c>
      <c r="G428" s="241">
        <f t="shared" si="33"/>
        <v>5169.2607190593089</v>
      </c>
      <c r="H428" s="241">
        <f t="shared" si="34"/>
        <v>46896.623456442874</v>
      </c>
      <c r="I428" s="242">
        <f t="shared" si="35"/>
        <v>1035578.1073240686</v>
      </c>
      <c r="J428" s="230"/>
      <c r="K428" s="231"/>
    </row>
    <row r="429" spans="2:11" ht="18">
      <c r="B429" s="228"/>
      <c r="C429" s="232"/>
      <c r="D429" s="239">
        <v>341</v>
      </c>
      <c r="E429" s="240">
        <f t="shared" si="31"/>
        <v>55554</v>
      </c>
      <c r="F429" s="241">
        <f t="shared" si="32"/>
        <v>52065.8841755022</v>
      </c>
      <c r="G429" s="241">
        <f t="shared" si="33"/>
        <v>4935.1684069725652</v>
      </c>
      <c r="H429" s="241">
        <f t="shared" si="34"/>
        <v>47130.715768529633</v>
      </c>
      <c r="I429" s="242">
        <f t="shared" si="35"/>
        <v>988681.48386762571</v>
      </c>
      <c r="J429" s="230"/>
      <c r="K429" s="231"/>
    </row>
    <row r="430" spans="2:11" ht="18">
      <c r="B430" s="228"/>
      <c r="C430" s="232"/>
      <c r="D430" s="239">
        <v>342</v>
      </c>
      <c r="E430" s="240">
        <f t="shared" si="31"/>
        <v>55583</v>
      </c>
      <c r="F430" s="241">
        <f t="shared" si="32"/>
        <v>52065.88417550212</v>
      </c>
      <c r="G430" s="241">
        <f t="shared" si="33"/>
        <v>4699.9075840946543</v>
      </c>
      <c r="H430" s="241">
        <f t="shared" si="34"/>
        <v>47365.976591407467</v>
      </c>
      <c r="I430" s="242">
        <f t="shared" si="35"/>
        <v>941550.76809909602</v>
      </c>
      <c r="J430" s="230"/>
      <c r="K430" s="231"/>
    </row>
    <row r="431" spans="2:11" ht="18">
      <c r="B431" s="228"/>
      <c r="C431" s="232"/>
      <c r="D431" s="239">
        <v>343</v>
      </c>
      <c r="E431" s="240">
        <f t="shared" si="31"/>
        <v>55614</v>
      </c>
      <c r="F431" s="241">
        <f t="shared" si="32"/>
        <v>52065.884175502324</v>
      </c>
      <c r="G431" s="241">
        <f t="shared" si="33"/>
        <v>4463.4724176092122</v>
      </c>
      <c r="H431" s="241">
        <f t="shared" si="34"/>
        <v>47602.411757893111</v>
      </c>
      <c r="I431" s="242">
        <f t="shared" si="35"/>
        <v>894184.79150768858</v>
      </c>
      <c r="J431" s="230"/>
      <c r="K431" s="231"/>
    </row>
    <row r="432" spans="2:11" ht="18">
      <c r="B432" s="228"/>
      <c r="C432" s="232"/>
      <c r="D432" s="239">
        <v>344</v>
      </c>
      <c r="E432" s="240">
        <f t="shared" si="31"/>
        <v>55644</v>
      </c>
      <c r="F432" s="241">
        <f t="shared" si="32"/>
        <v>52065.884175502142</v>
      </c>
      <c r="G432" s="241">
        <f t="shared" si="33"/>
        <v>4225.8570455843956</v>
      </c>
      <c r="H432" s="241">
        <f t="shared" si="34"/>
        <v>47840.027129917748</v>
      </c>
      <c r="I432" s="242">
        <f t="shared" si="35"/>
        <v>846582.37974979542</v>
      </c>
      <c r="J432" s="230"/>
      <c r="K432" s="231"/>
    </row>
    <row r="433" spans="2:11" ht="18">
      <c r="B433" s="228"/>
      <c r="C433" s="232"/>
      <c r="D433" s="239">
        <v>345</v>
      </c>
      <c r="E433" s="240">
        <f t="shared" si="31"/>
        <v>55675</v>
      </c>
      <c r="F433" s="241">
        <f t="shared" si="32"/>
        <v>52065.884175502295</v>
      </c>
      <c r="G433" s="241">
        <f t="shared" si="33"/>
        <v>3987.0555768275563</v>
      </c>
      <c r="H433" s="241">
        <f t="shared" si="34"/>
        <v>48078.828598674736</v>
      </c>
      <c r="I433" s="242">
        <f t="shared" si="35"/>
        <v>798742.35261987767</v>
      </c>
      <c r="J433" s="230"/>
      <c r="K433" s="231"/>
    </row>
    <row r="434" spans="2:11" ht="18">
      <c r="B434" s="228"/>
      <c r="C434" s="232"/>
      <c r="D434" s="239">
        <v>346</v>
      </c>
      <c r="E434" s="240">
        <f t="shared" si="31"/>
        <v>55705</v>
      </c>
      <c r="F434" s="241">
        <f t="shared" si="32"/>
        <v>52065.884175502215</v>
      </c>
      <c r="G434" s="241">
        <f t="shared" si="33"/>
        <v>3747.0620907391713</v>
      </c>
      <c r="H434" s="241">
        <f t="shared" si="34"/>
        <v>48318.822084763044</v>
      </c>
      <c r="I434" s="242">
        <f t="shared" si="35"/>
        <v>750663.52402120293</v>
      </c>
      <c r="J434" s="230"/>
      <c r="K434" s="231"/>
    </row>
    <row r="435" spans="2:11" ht="18">
      <c r="B435" s="228"/>
      <c r="C435" s="232"/>
      <c r="D435" s="239">
        <v>347</v>
      </c>
      <c r="E435" s="240">
        <f t="shared" si="31"/>
        <v>55736</v>
      </c>
      <c r="F435" s="241">
        <f t="shared" si="32"/>
        <v>52065.884175502179</v>
      </c>
      <c r="G435" s="241">
        <f t="shared" si="33"/>
        <v>3505.8706371660624</v>
      </c>
      <c r="H435" s="241">
        <f t="shared" si="34"/>
        <v>48560.013538336119</v>
      </c>
      <c r="I435" s="242">
        <f t="shared" si="35"/>
        <v>702344.70193643984</v>
      </c>
      <c r="J435" s="230"/>
      <c r="K435" s="231"/>
    </row>
    <row r="436" spans="2:11" ht="18">
      <c r="B436" s="228"/>
      <c r="C436" s="232"/>
      <c r="D436" s="239">
        <v>348</v>
      </c>
      <c r="E436" s="240">
        <f t="shared" si="31"/>
        <v>55767</v>
      </c>
      <c r="F436" s="241">
        <f t="shared" si="32"/>
        <v>52065.884175502324</v>
      </c>
      <c r="G436" s="241">
        <f t="shared" si="33"/>
        <v>3263.4752362538679</v>
      </c>
      <c r="H436" s="241">
        <f t="shared" si="34"/>
        <v>48802.408939248453</v>
      </c>
      <c r="I436" s="242">
        <f t="shared" si="35"/>
        <v>653784.6883981037</v>
      </c>
      <c r="J436" s="230"/>
      <c r="K436" s="231"/>
    </row>
    <row r="437" spans="2:11" ht="18">
      <c r="B437" s="228"/>
      <c r="C437" s="232"/>
      <c r="D437" s="239">
        <v>349</v>
      </c>
      <c r="E437" s="240">
        <f t="shared" si="31"/>
        <v>55797</v>
      </c>
      <c r="F437" s="241">
        <f t="shared" si="32"/>
        <v>52065.884175502404</v>
      </c>
      <c r="G437" s="241">
        <f t="shared" si="33"/>
        <v>3019.8698782987858</v>
      </c>
      <c r="H437" s="241">
        <f t="shared" si="34"/>
        <v>49046.014297203619</v>
      </c>
      <c r="I437" s="242">
        <f t="shared" si="35"/>
        <v>604982.27945885528</v>
      </c>
      <c r="J437" s="230"/>
      <c r="K437" s="231"/>
    </row>
    <row r="438" spans="2:11" ht="18">
      <c r="B438" s="228"/>
      <c r="C438" s="232"/>
      <c r="D438" s="239">
        <v>350</v>
      </c>
      <c r="E438" s="240">
        <f t="shared" si="31"/>
        <v>55828</v>
      </c>
      <c r="F438" s="241">
        <f t="shared" si="32"/>
        <v>52065.884175502397</v>
      </c>
      <c r="G438" s="241">
        <f t="shared" si="33"/>
        <v>2775.048523598578</v>
      </c>
      <c r="H438" s="241">
        <f t="shared" si="34"/>
        <v>49290.835651903821</v>
      </c>
      <c r="I438" s="242">
        <f t="shared" si="35"/>
        <v>555936.26516165165</v>
      </c>
      <c r="J438" s="230"/>
      <c r="K438" s="231"/>
    </row>
    <row r="439" spans="2:11" ht="18">
      <c r="B439" s="228"/>
      <c r="C439" s="232"/>
      <c r="D439" s="239">
        <v>351</v>
      </c>
      <c r="E439" s="240">
        <f t="shared" si="31"/>
        <v>55858</v>
      </c>
      <c r="F439" s="241">
        <f t="shared" si="32"/>
        <v>52065.884175502506</v>
      </c>
      <c r="G439" s="241">
        <f t="shared" si="33"/>
        <v>2529.0051023028245</v>
      </c>
      <c r="H439" s="241">
        <f t="shared" si="34"/>
        <v>49536.879073199685</v>
      </c>
      <c r="I439" s="242">
        <f t="shared" si="35"/>
        <v>506645.42950974783</v>
      </c>
      <c r="J439" s="230"/>
      <c r="K439" s="231"/>
    </row>
    <row r="440" spans="2:11" ht="18">
      <c r="B440" s="228"/>
      <c r="C440" s="232"/>
      <c r="D440" s="239">
        <v>352</v>
      </c>
      <c r="E440" s="240">
        <f t="shared" si="31"/>
        <v>55889</v>
      </c>
      <c r="F440" s="241">
        <f t="shared" si="32"/>
        <v>52065.884175502433</v>
      </c>
      <c r="G440" s="241">
        <f t="shared" si="33"/>
        <v>2281.7335142624361</v>
      </c>
      <c r="H440" s="241">
        <f t="shared" si="34"/>
        <v>49784.150661239997</v>
      </c>
      <c r="I440" s="242">
        <f t="shared" si="35"/>
        <v>457108.55043654813</v>
      </c>
      <c r="J440" s="230"/>
      <c r="K440" s="231"/>
    </row>
    <row r="441" spans="2:11" ht="18">
      <c r="B441" s="228"/>
      <c r="C441" s="232"/>
      <c r="D441" s="239">
        <v>353</v>
      </c>
      <c r="E441" s="240">
        <f t="shared" si="31"/>
        <v>55920</v>
      </c>
      <c r="F441" s="241">
        <f t="shared" si="32"/>
        <v>52065.884175502455</v>
      </c>
      <c r="G441" s="241">
        <f t="shared" si="33"/>
        <v>2033.2276288784133</v>
      </c>
      <c r="H441" s="241">
        <f t="shared" si="34"/>
        <v>50032.656546624043</v>
      </c>
      <c r="I441" s="242">
        <f t="shared" si="35"/>
        <v>407324.39977530815</v>
      </c>
      <c r="J441" s="230"/>
      <c r="K441" s="231"/>
    </row>
    <row r="442" spans="2:11" ht="18">
      <c r="B442" s="228"/>
      <c r="C442" s="232"/>
      <c r="D442" s="239">
        <v>354</v>
      </c>
      <c r="E442" s="240">
        <f t="shared" si="31"/>
        <v>55948</v>
      </c>
      <c r="F442" s="241">
        <f t="shared" si="32"/>
        <v>52065.884175502273</v>
      </c>
      <c r="G442" s="241">
        <f t="shared" si="33"/>
        <v>1783.4812849498483</v>
      </c>
      <c r="H442" s="241">
        <f t="shared" si="34"/>
        <v>50282.402890552425</v>
      </c>
      <c r="I442" s="242">
        <f t="shared" si="35"/>
        <v>357291.74322868412</v>
      </c>
      <c r="J442" s="230"/>
      <c r="K442" s="231"/>
    </row>
    <row r="443" spans="2:11" ht="18">
      <c r="B443" s="228"/>
      <c r="C443" s="232"/>
      <c r="D443" s="239">
        <v>355</v>
      </c>
      <c r="E443" s="240">
        <f t="shared" si="31"/>
        <v>55979</v>
      </c>
      <c r="F443" s="241">
        <f t="shared" si="32"/>
        <v>52065.884175502426</v>
      </c>
      <c r="G443" s="241">
        <f t="shared" si="33"/>
        <v>1532.4882905211741</v>
      </c>
      <c r="H443" s="241">
        <f t="shared" si="34"/>
        <v>50533.395884981255</v>
      </c>
      <c r="I443" s="242">
        <f t="shared" si="35"/>
        <v>307009.3403381317</v>
      </c>
      <c r="J443" s="230"/>
      <c r="K443" s="231"/>
    </row>
    <row r="444" spans="2:11" ht="18">
      <c r="B444" s="228"/>
      <c r="C444" s="232"/>
      <c r="D444" s="239">
        <v>356</v>
      </c>
      <c r="E444" s="240">
        <f t="shared" si="31"/>
        <v>56009</v>
      </c>
      <c r="F444" s="241">
        <f t="shared" si="32"/>
        <v>52065.884175502622</v>
      </c>
      <c r="G444" s="241">
        <f t="shared" si="33"/>
        <v>1280.2424227286426</v>
      </c>
      <c r="H444" s="241">
        <f t="shared" si="34"/>
        <v>50785.641752773983</v>
      </c>
      <c r="I444" s="242">
        <f t="shared" si="35"/>
        <v>256475.94445315044</v>
      </c>
      <c r="J444" s="230"/>
      <c r="K444" s="231"/>
    </row>
    <row r="445" spans="2:11" ht="18">
      <c r="B445" s="228"/>
      <c r="C445" s="232"/>
      <c r="D445" s="239">
        <v>357</v>
      </c>
      <c r="E445" s="240">
        <f t="shared" si="31"/>
        <v>56040</v>
      </c>
      <c r="F445" s="241">
        <f t="shared" si="32"/>
        <v>52065.884175502586</v>
      </c>
      <c r="G445" s="241">
        <f t="shared" si="33"/>
        <v>1026.7374276460459</v>
      </c>
      <c r="H445" s="241">
        <f t="shared" si="34"/>
        <v>51039.146747856539</v>
      </c>
      <c r="I445" s="242">
        <f t="shared" si="35"/>
        <v>205690.30270037646</v>
      </c>
      <c r="J445" s="230"/>
      <c r="K445" s="231"/>
    </row>
    <row r="446" spans="2:11" ht="18">
      <c r="B446" s="228"/>
      <c r="C446" s="232"/>
      <c r="D446" s="239">
        <v>358</v>
      </c>
      <c r="E446" s="240">
        <f t="shared" si="31"/>
        <v>56070</v>
      </c>
      <c r="F446" s="241">
        <f t="shared" si="32"/>
        <v>52065.884175502513</v>
      </c>
      <c r="G446" s="241">
        <f t="shared" si="33"/>
        <v>771.96702012966193</v>
      </c>
      <c r="H446" s="241">
        <f t="shared" si="34"/>
        <v>51293.917155372852</v>
      </c>
      <c r="I446" s="242">
        <f t="shared" si="35"/>
        <v>154651.15595251991</v>
      </c>
      <c r="J446" s="230"/>
      <c r="K446" s="231"/>
    </row>
    <row r="447" spans="2:11" ht="18">
      <c r="B447" s="228"/>
      <c r="C447" s="232"/>
      <c r="D447" s="239">
        <v>359</v>
      </c>
      <c r="E447" s="240">
        <f t="shared" si="31"/>
        <v>56101</v>
      </c>
      <c r="F447" s="241">
        <f t="shared" si="32"/>
        <v>52065.884175503248</v>
      </c>
      <c r="G447" s="241">
        <f t="shared" si="33"/>
        <v>515.92488366242571</v>
      </c>
      <c r="H447" s="241">
        <f t="shared" si="34"/>
        <v>51549.959291840823</v>
      </c>
      <c r="I447" s="242">
        <f t="shared" si="35"/>
        <v>103357.23879714706</v>
      </c>
      <c r="J447" s="230"/>
      <c r="K447" s="231"/>
    </row>
    <row r="448" spans="2:11" ht="18">
      <c r="B448" s="228"/>
      <c r="C448" s="232"/>
      <c r="D448" s="239">
        <v>360</v>
      </c>
      <c r="E448" s="240">
        <f t="shared" si="31"/>
        <v>56132</v>
      </c>
      <c r="F448" s="241">
        <f t="shared" si="32"/>
        <v>52065.884175502732</v>
      </c>
      <c r="G448" s="241">
        <f t="shared" si="33"/>
        <v>258.60467019732033</v>
      </c>
      <c r="H448" s="241">
        <f t="shared" si="34"/>
        <v>51807.279505305414</v>
      </c>
      <c r="I448" s="242">
        <f t="shared" si="35"/>
        <v>51807.279505306236</v>
      </c>
      <c r="J448" s="230"/>
      <c r="K448" s="231"/>
    </row>
    <row r="449" spans="2:11" ht="18">
      <c r="B449" s="228"/>
      <c r="C449" s="232"/>
      <c r="D449" s="239">
        <v>361</v>
      </c>
      <c r="E449" s="240">
        <f t="shared" si="31"/>
        <v>56162</v>
      </c>
      <c r="F449" s="241" t="str">
        <f t="shared" si="32"/>
        <v/>
      </c>
      <c r="G449" s="241" t="str">
        <f t="shared" si="33"/>
        <v/>
      </c>
      <c r="H449" s="241" t="str">
        <f t="shared" si="34"/>
        <v/>
      </c>
      <c r="I449" s="242">
        <f t="shared" si="35"/>
        <v>0</v>
      </c>
      <c r="J449" s="230"/>
      <c r="K449" s="231"/>
    </row>
    <row r="450" spans="2:11" ht="18">
      <c r="B450" s="228"/>
      <c r="C450" s="232"/>
      <c r="D450" s="239">
        <v>362</v>
      </c>
      <c r="E450" s="240">
        <f t="shared" si="31"/>
        <v>56193</v>
      </c>
      <c r="F450" s="241">
        <f t="shared" si="32"/>
        <v>0</v>
      </c>
      <c r="G450" s="241" t="str">
        <f t="shared" si="33"/>
        <v/>
      </c>
      <c r="H450" s="241" t="str">
        <f t="shared" si="34"/>
        <v/>
      </c>
      <c r="I450" s="242">
        <f t="shared" si="35"/>
        <v>0</v>
      </c>
      <c r="J450" s="230"/>
      <c r="K450" s="231"/>
    </row>
    <row r="451" spans="2:11" ht="18">
      <c r="B451" s="228"/>
      <c r="C451" s="232"/>
      <c r="D451" s="239">
        <v>363</v>
      </c>
      <c r="E451" s="240">
        <f t="shared" si="31"/>
        <v>56223</v>
      </c>
      <c r="F451" s="241">
        <f t="shared" si="32"/>
        <v>0</v>
      </c>
      <c r="G451" s="241" t="str">
        <f t="shared" si="33"/>
        <v/>
      </c>
      <c r="H451" s="241" t="str">
        <f t="shared" si="34"/>
        <v/>
      </c>
      <c r="I451" s="242">
        <f t="shared" si="35"/>
        <v>0</v>
      </c>
      <c r="J451" s="230"/>
      <c r="K451" s="231"/>
    </row>
    <row r="452" spans="2:11" ht="18">
      <c r="B452" s="228"/>
      <c r="C452" s="232"/>
      <c r="D452" s="239">
        <v>364</v>
      </c>
      <c r="E452" s="240">
        <f t="shared" si="31"/>
        <v>56254</v>
      </c>
      <c r="F452" s="241">
        <f t="shared" si="32"/>
        <v>0</v>
      </c>
      <c r="G452" s="241" t="str">
        <f t="shared" si="33"/>
        <v/>
      </c>
      <c r="H452" s="241" t="str">
        <f t="shared" si="34"/>
        <v/>
      </c>
      <c r="I452" s="242">
        <f t="shared" si="35"/>
        <v>0</v>
      </c>
      <c r="J452" s="230"/>
      <c r="K452" s="231"/>
    </row>
    <row r="453" spans="2:11" ht="15">
      <c r="B453" s="228"/>
      <c r="C453" s="228"/>
      <c r="D453" s="239">
        <v>365</v>
      </c>
      <c r="E453" s="240">
        <f t="shared" si="31"/>
        <v>56285</v>
      </c>
      <c r="F453" s="241">
        <f t="shared" si="32"/>
        <v>0</v>
      </c>
      <c r="G453" s="241" t="str">
        <f t="shared" si="33"/>
        <v/>
      </c>
      <c r="H453" s="241" t="str">
        <f t="shared" si="34"/>
        <v/>
      </c>
      <c r="I453" s="242">
        <f t="shared" si="35"/>
        <v>0</v>
      </c>
      <c r="J453" s="230"/>
      <c r="K453" s="231"/>
    </row>
    <row r="454" spans="2:11" ht="15">
      <c r="B454" s="181"/>
      <c r="C454" s="181"/>
      <c r="D454" s="239">
        <v>366</v>
      </c>
      <c r="E454" s="240">
        <f t="shared" si="31"/>
        <v>56313</v>
      </c>
      <c r="F454" s="241">
        <f t="shared" si="32"/>
        <v>0</v>
      </c>
      <c r="G454" s="241" t="str">
        <f t="shared" si="33"/>
        <v/>
      </c>
      <c r="H454" s="241" t="str">
        <f t="shared" si="34"/>
        <v/>
      </c>
      <c r="I454" s="242">
        <f t="shared" si="35"/>
        <v>0</v>
      </c>
      <c r="J454" s="230"/>
      <c r="K454" s="231"/>
    </row>
    <row r="455" spans="2:11" ht="15">
      <c r="B455" s="181"/>
      <c r="C455" s="181"/>
      <c r="D455" s="239">
        <v>367</v>
      </c>
      <c r="E455" s="240">
        <f t="shared" si="31"/>
        <v>56344</v>
      </c>
      <c r="F455" s="241">
        <f t="shared" si="32"/>
        <v>0</v>
      </c>
      <c r="G455" s="241" t="str">
        <f t="shared" si="33"/>
        <v/>
      </c>
      <c r="H455" s="241" t="str">
        <f t="shared" si="34"/>
        <v/>
      </c>
      <c r="I455" s="242">
        <f t="shared" si="35"/>
        <v>0</v>
      </c>
      <c r="J455" s="230"/>
      <c r="K455" s="231"/>
    </row>
    <row r="456" spans="2:11" ht="15">
      <c r="B456" s="181"/>
      <c r="C456" s="181"/>
      <c r="D456" s="239">
        <v>368</v>
      </c>
      <c r="E456" s="240">
        <f t="shared" si="31"/>
        <v>56374</v>
      </c>
      <c r="F456" s="241">
        <f t="shared" si="32"/>
        <v>0</v>
      </c>
      <c r="G456" s="241" t="str">
        <f t="shared" si="33"/>
        <v/>
      </c>
      <c r="H456" s="241" t="str">
        <f t="shared" si="34"/>
        <v/>
      </c>
      <c r="I456" s="242">
        <f t="shared" si="35"/>
        <v>0</v>
      </c>
      <c r="J456" s="230"/>
      <c r="K456" s="231"/>
    </row>
    <row r="457" spans="2:11" ht="15">
      <c r="B457" s="181"/>
      <c r="C457" s="181"/>
      <c r="D457" s="239">
        <v>369</v>
      </c>
      <c r="E457" s="240">
        <f t="shared" si="31"/>
        <v>56405</v>
      </c>
      <c r="F457" s="241">
        <f t="shared" si="32"/>
        <v>0</v>
      </c>
      <c r="G457" s="241" t="str">
        <f t="shared" si="33"/>
        <v/>
      </c>
      <c r="H457" s="241" t="str">
        <f t="shared" si="34"/>
        <v/>
      </c>
      <c r="I457" s="242">
        <f t="shared" si="35"/>
        <v>0</v>
      </c>
      <c r="J457" s="230"/>
      <c r="K457" s="231"/>
    </row>
    <row r="458" spans="2:11" ht="15">
      <c r="B458" s="181"/>
      <c r="C458" s="181"/>
      <c r="D458" s="239">
        <v>370</v>
      </c>
      <c r="E458" s="240">
        <f t="shared" si="31"/>
        <v>56435</v>
      </c>
      <c r="F458" s="241">
        <f t="shared" si="32"/>
        <v>0</v>
      </c>
      <c r="G458" s="241" t="str">
        <f t="shared" si="33"/>
        <v/>
      </c>
      <c r="H458" s="241" t="str">
        <f t="shared" si="34"/>
        <v/>
      </c>
      <c r="I458" s="242">
        <f t="shared" si="35"/>
        <v>0</v>
      </c>
      <c r="J458" s="230"/>
      <c r="K458" s="231"/>
    </row>
    <row r="459" spans="2:11" ht="15">
      <c r="B459" s="181"/>
      <c r="C459" s="181"/>
      <c r="D459" s="239">
        <v>371</v>
      </c>
      <c r="E459" s="240">
        <f t="shared" si="31"/>
        <v>56466</v>
      </c>
      <c r="F459" s="241">
        <f t="shared" si="32"/>
        <v>0</v>
      </c>
      <c r="G459" s="241" t="str">
        <f t="shared" si="33"/>
        <v/>
      </c>
      <c r="H459" s="241" t="str">
        <f t="shared" si="34"/>
        <v/>
      </c>
      <c r="I459" s="242">
        <f t="shared" si="35"/>
        <v>0</v>
      </c>
      <c r="J459" s="230"/>
      <c r="K459" s="231"/>
    </row>
    <row r="460" spans="2:11" ht="15">
      <c r="B460" s="181"/>
      <c r="C460" s="181"/>
      <c r="D460" s="239">
        <v>372</v>
      </c>
      <c r="E460" s="240">
        <f t="shared" si="31"/>
        <v>56497</v>
      </c>
      <c r="F460" s="241">
        <f t="shared" si="32"/>
        <v>0</v>
      </c>
      <c r="G460" s="241" t="str">
        <f t="shared" si="33"/>
        <v/>
      </c>
      <c r="H460" s="241" t="str">
        <f t="shared" si="34"/>
        <v/>
      </c>
      <c r="I460" s="242">
        <f t="shared" si="35"/>
        <v>0</v>
      </c>
      <c r="J460" s="230"/>
      <c r="K460" s="231"/>
    </row>
    <row r="461" spans="2:11" ht="15">
      <c r="B461" s="181"/>
      <c r="C461" s="181"/>
      <c r="D461" s="239">
        <v>373</v>
      </c>
      <c r="E461" s="240">
        <f t="shared" si="31"/>
        <v>56527</v>
      </c>
      <c r="F461" s="241">
        <f t="shared" si="32"/>
        <v>0</v>
      </c>
      <c r="G461" s="241" t="str">
        <f t="shared" si="33"/>
        <v/>
      </c>
      <c r="H461" s="241" t="str">
        <f t="shared" si="34"/>
        <v/>
      </c>
      <c r="I461" s="242">
        <f t="shared" si="35"/>
        <v>0</v>
      </c>
      <c r="J461" s="230"/>
      <c r="K461" s="231"/>
    </row>
    <row r="462" spans="2:11" ht="15">
      <c r="B462" s="181"/>
      <c r="C462" s="181"/>
      <c r="D462" s="239">
        <v>374</v>
      </c>
      <c r="E462" s="240">
        <f t="shared" si="31"/>
        <v>56558</v>
      </c>
      <c r="F462" s="241">
        <f t="shared" si="32"/>
        <v>0</v>
      </c>
      <c r="G462" s="241" t="str">
        <f t="shared" si="33"/>
        <v/>
      </c>
      <c r="H462" s="241" t="str">
        <f t="shared" si="34"/>
        <v/>
      </c>
      <c r="I462" s="242">
        <f t="shared" si="35"/>
        <v>0</v>
      </c>
      <c r="J462" s="230"/>
      <c r="K462" s="231"/>
    </row>
    <row r="463" spans="2:11" ht="15">
      <c r="B463" s="181"/>
      <c r="C463" s="181"/>
      <c r="D463" s="239">
        <v>375</v>
      </c>
      <c r="E463" s="240">
        <f t="shared" si="31"/>
        <v>56588</v>
      </c>
      <c r="F463" s="241">
        <f t="shared" si="32"/>
        <v>0</v>
      </c>
      <c r="G463" s="241" t="str">
        <f t="shared" si="33"/>
        <v/>
      </c>
      <c r="H463" s="241" t="str">
        <f t="shared" si="34"/>
        <v/>
      </c>
      <c r="I463" s="242">
        <f t="shared" si="35"/>
        <v>0</v>
      </c>
      <c r="J463" s="230"/>
      <c r="K463" s="231"/>
    </row>
    <row r="464" spans="2:11" ht="15">
      <c r="B464" s="181"/>
      <c r="C464" s="181"/>
      <c r="D464" s="239">
        <v>376</v>
      </c>
      <c r="E464" s="240">
        <f t="shared" si="31"/>
        <v>56619</v>
      </c>
      <c r="F464" s="241">
        <f t="shared" si="32"/>
        <v>0</v>
      </c>
      <c r="G464" s="241" t="str">
        <f t="shared" si="33"/>
        <v/>
      </c>
      <c r="H464" s="241" t="str">
        <f t="shared" si="34"/>
        <v/>
      </c>
      <c r="I464" s="242">
        <f t="shared" si="35"/>
        <v>0</v>
      </c>
      <c r="J464" s="230"/>
      <c r="K464" s="231"/>
    </row>
    <row r="465" spans="2:11" ht="15">
      <c r="B465" s="181"/>
      <c r="C465" s="181"/>
      <c r="D465" s="239">
        <v>377</v>
      </c>
      <c r="E465" s="240">
        <f t="shared" si="31"/>
        <v>56650</v>
      </c>
      <c r="F465" s="241">
        <f t="shared" si="32"/>
        <v>0</v>
      </c>
      <c r="G465" s="241" t="str">
        <f t="shared" si="33"/>
        <v/>
      </c>
      <c r="H465" s="241" t="str">
        <f t="shared" si="34"/>
        <v/>
      </c>
      <c r="I465" s="242">
        <f t="shared" si="35"/>
        <v>0</v>
      </c>
      <c r="J465" s="230"/>
      <c r="K465" s="231"/>
    </row>
    <row r="466" spans="2:11" ht="15">
      <c r="B466" s="181"/>
      <c r="C466" s="181"/>
      <c r="D466" s="239">
        <v>378</v>
      </c>
      <c r="E466" s="240">
        <f t="shared" si="31"/>
        <v>56678</v>
      </c>
      <c r="F466" s="241">
        <f t="shared" si="32"/>
        <v>0</v>
      </c>
      <c r="G466" s="241" t="str">
        <f t="shared" si="33"/>
        <v/>
      </c>
      <c r="H466" s="241" t="str">
        <f t="shared" si="34"/>
        <v/>
      </c>
      <c r="I466" s="242">
        <f t="shared" si="35"/>
        <v>0</v>
      </c>
      <c r="J466" s="230"/>
      <c r="K466" s="231"/>
    </row>
    <row r="467" spans="2:11" ht="15">
      <c r="B467" s="181"/>
      <c r="C467" s="181"/>
      <c r="D467" s="239">
        <v>379</v>
      </c>
      <c r="E467" s="240">
        <f t="shared" si="31"/>
        <v>56709</v>
      </c>
      <c r="F467" s="241">
        <f t="shared" si="32"/>
        <v>0</v>
      </c>
      <c r="G467" s="241" t="str">
        <f t="shared" si="33"/>
        <v/>
      </c>
      <c r="H467" s="241" t="str">
        <f t="shared" si="34"/>
        <v/>
      </c>
      <c r="I467" s="242">
        <f t="shared" si="35"/>
        <v>0</v>
      </c>
      <c r="J467" s="230"/>
      <c r="K467" s="231"/>
    </row>
    <row r="468" spans="2:11" ht="15">
      <c r="B468" s="181"/>
      <c r="C468" s="181"/>
      <c r="D468" s="239">
        <v>380</v>
      </c>
      <c r="E468" s="240">
        <f t="shared" si="31"/>
        <v>56739</v>
      </c>
      <c r="F468" s="241">
        <f t="shared" si="32"/>
        <v>0</v>
      </c>
      <c r="G468" s="241" t="str">
        <f t="shared" si="33"/>
        <v/>
      </c>
      <c r="H468" s="241" t="str">
        <f t="shared" si="34"/>
        <v/>
      </c>
      <c r="I468" s="242">
        <f t="shared" si="35"/>
        <v>0</v>
      </c>
      <c r="J468" s="230"/>
      <c r="K468" s="231"/>
    </row>
    <row r="469" spans="2:11" ht="15">
      <c r="B469" s="181"/>
      <c r="C469" s="181"/>
      <c r="D469" s="239">
        <v>381</v>
      </c>
      <c r="E469" s="240">
        <f t="shared" si="31"/>
        <v>56770</v>
      </c>
      <c r="F469" s="241">
        <f t="shared" si="32"/>
        <v>0</v>
      </c>
      <c r="G469" s="241" t="str">
        <f t="shared" si="33"/>
        <v/>
      </c>
      <c r="H469" s="241" t="str">
        <f t="shared" si="34"/>
        <v/>
      </c>
      <c r="I469" s="242">
        <f t="shared" si="35"/>
        <v>0</v>
      </c>
      <c r="J469" s="230"/>
      <c r="K469" s="231"/>
    </row>
    <row r="470" spans="2:11" ht="15">
      <c r="B470" s="181"/>
      <c r="C470" s="181"/>
      <c r="D470" s="239">
        <v>382</v>
      </c>
      <c r="E470" s="240">
        <f t="shared" si="31"/>
        <v>56800</v>
      </c>
      <c r="F470" s="241">
        <f t="shared" si="32"/>
        <v>0</v>
      </c>
      <c r="G470" s="241" t="str">
        <f t="shared" si="33"/>
        <v/>
      </c>
      <c r="H470" s="241" t="str">
        <f t="shared" si="34"/>
        <v/>
      </c>
      <c r="I470" s="242">
        <f t="shared" si="35"/>
        <v>0</v>
      </c>
      <c r="J470" s="230"/>
      <c r="K470" s="231"/>
    </row>
    <row r="471" spans="2:11" ht="15">
      <c r="B471" s="181"/>
      <c r="C471" s="181"/>
      <c r="D471" s="239">
        <v>383</v>
      </c>
      <c r="E471" s="240">
        <f t="shared" si="31"/>
        <v>56831</v>
      </c>
      <c r="F471" s="241">
        <f t="shared" si="32"/>
        <v>0</v>
      </c>
      <c r="G471" s="241" t="str">
        <f t="shared" si="33"/>
        <v/>
      </c>
      <c r="H471" s="241" t="str">
        <f t="shared" si="34"/>
        <v/>
      </c>
      <c r="I471" s="242">
        <f t="shared" si="35"/>
        <v>0</v>
      </c>
      <c r="J471" s="230"/>
      <c r="K471" s="231"/>
    </row>
    <row r="472" spans="2:11" ht="15">
      <c r="B472" s="181"/>
      <c r="C472" s="181"/>
      <c r="D472" s="239">
        <v>384</v>
      </c>
      <c r="E472" s="240">
        <f t="shared" si="31"/>
        <v>56862</v>
      </c>
      <c r="F472" s="241">
        <f t="shared" si="32"/>
        <v>0</v>
      </c>
      <c r="G472" s="241" t="str">
        <f t="shared" si="33"/>
        <v/>
      </c>
      <c r="H472" s="241" t="str">
        <f t="shared" si="34"/>
        <v/>
      </c>
      <c r="I472" s="242">
        <f t="shared" si="35"/>
        <v>0</v>
      </c>
      <c r="J472" s="230"/>
      <c r="K472" s="231"/>
    </row>
    <row r="473" spans="2:11" ht="15">
      <c r="B473" s="181"/>
      <c r="C473" s="181"/>
      <c r="D473" s="239">
        <v>385</v>
      </c>
      <c r="E473" s="240">
        <f t="shared" si="31"/>
        <v>56892</v>
      </c>
      <c r="F473" s="241">
        <f t="shared" si="32"/>
        <v>0</v>
      </c>
      <c r="G473" s="241" t="str">
        <f t="shared" si="33"/>
        <v/>
      </c>
      <c r="H473" s="241" t="str">
        <f t="shared" si="34"/>
        <v/>
      </c>
      <c r="I473" s="242">
        <f t="shared" si="35"/>
        <v>0</v>
      </c>
      <c r="J473" s="230"/>
      <c r="K473" s="231"/>
    </row>
    <row r="474" spans="2:11" ht="15">
      <c r="B474" s="181"/>
      <c r="C474" s="181"/>
      <c r="D474" s="239">
        <v>386</v>
      </c>
      <c r="E474" s="240">
        <f t="shared" si="31"/>
        <v>56923</v>
      </c>
      <c r="F474" s="241">
        <f t="shared" si="32"/>
        <v>0</v>
      </c>
      <c r="G474" s="241" t="str">
        <f t="shared" si="33"/>
        <v/>
      </c>
      <c r="H474" s="241" t="str">
        <f t="shared" si="34"/>
        <v/>
      </c>
      <c r="I474" s="242">
        <f t="shared" si="35"/>
        <v>0</v>
      </c>
      <c r="J474" s="230"/>
      <c r="K474" s="231"/>
    </row>
    <row r="475" spans="2:11" ht="15">
      <c r="B475" s="181"/>
      <c r="C475" s="181"/>
      <c r="D475" s="239">
        <v>387</v>
      </c>
      <c r="E475" s="240">
        <f t="shared" ref="E475:E508" si="36">DATE(YEAR($E474),MONTH($E474)+1,DAY($E474))</f>
        <v>56953</v>
      </c>
      <c r="F475" s="241">
        <f t="shared" ref="F475:F508" si="37">IFERROR(((I475))*($H$86/12)/(1-(1+($H$86/12))^-($E$26-D474)),"")</f>
        <v>0</v>
      </c>
      <c r="G475" s="241" t="str">
        <f t="shared" ref="G475:G508" si="38">IFERROR((IF(I475&gt;0,(I475*($H$86/12)),"")),"")</f>
        <v/>
      </c>
      <c r="H475" s="241" t="str">
        <f t="shared" ref="H475:H508" si="39">IFERROR((F475-G475),"")</f>
        <v/>
      </c>
      <c r="I475" s="242">
        <f t="shared" ref="I475:I508" si="40">IFERROR((IF(D475&gt;$E$26,0,I474-H474)),"")</f>
        <v>0</v>
      </c>
      <c r="J475" s="230"/>
      <c r="K475" s="231"/>
    </row>
    <row r="476" spans="2:11" ht="15">
      <c r="B476" s="181"/>
      <c r="C476" s="181"/>
      <c r="D476" s="239">
        <v>388</v>
      </c>
      <c r="E476" s="240">
        <f t="shared" si="36"/>
        <v>56984</v>
      </c>
      <c r="F476" s="241">
        <f t="shared" si="37"/>
        <v>0</v>
      </c>
      <c r="G476" s="241" t="str">
        <f t="shared" si="38"/>
        <v/>
      </c>
      <c r="H476" s="241" t="str">
        <f t="shared" si="39"/>
        <v/>
      </c>
      <c r="I476" s="242">
        <f t="shared" si="40"/>
        <v>0</v>
      </c>
      <c r="J476" s="230"/>
      <c r="K476" s="231"/>
    </row>
    <row r="477" spans="2:11" ht="15">
      <c r="B477" s="181"/>
      <c r="C477" s="181"/>
      <c r="D477" s="239">
        <v>389</v>
      </c>
      <c r="E477" s="240">
        <f t="shared" si="36"/>
        <v>57015</v>
      </c>
      <c r="F477" s="241">
        <f t="shared" si="37"/>
        <v>0</v>
      </c>
      <c r="G477" s="241" t="str">
        <f t="shared" si="38"/>
        <v/>
      </c>
      <c r="H477" s="241" t="str">
        <f t="shared" si="39"/>
        <v/>
      </c>
      <c r="I477" s="242">
        <f t="shared" si="40"/>
        <v>0</v>
      </c>
      <c r="J477" s="230"/>
      <c r="K477" s="231"/>
    </row>
    <row r="478" spans="2:11" ht="15">
      <c r="B478" s="181"/>
      <c r="C478" s="181"/>
      <c r="D478" s="239">
        <v>390</v>
      </c>
      <c r="E478" s="240">
        <f t="shared" si="36"/>
        <v>57044</v>
      </c>
      <c r="F478" s="241">
        <f t="shared" si="37"/>
        <v>0</v>
      </c>
      <c r="G478" s="241" t="str">
        <f t="shared" si="38"/>
        <v/>
      </c>
      <c r="H478" s="241" t="str">
        <f t="shared" si="39"/>
        <v/>
      </c>
      <c r="I478" s="242">
        <f t="shared" si="40"/>
        <v>0</v>
      </c>
      <c r="J478" s="230"/>
      <c r="K478" s="231"/>
    </row>
    <row r="479" spans="2:11" ht="15">
      <c r="B479" s="181"/>
      <c r="C479" s="181"/>
      <c r="D479" s="239">
        <v>391</v>
      </c>
      <c r="E479" s="240">
        <f t="shared" si="36"/>
        <v>57075</v>
      </c>
      <c r="F479" s="241">
        <f t="shared" si="37"/>
        <v>0</v>
      </c>
      <c r="G479" s="241" t="str">
        <f t="shared" si="38"/>
        <v/>
      </c>
      <c r="H479" s="241" t="str">
        <f t="shared" si="39"/>
        <v/>
      </c>
      <c r="I479" s="242">
        <f t="shared" si="40"/>
        <v>0</v>
      </c>
      <c r="J479" s="230"/>
      <c r="K479" s="231"/>
    </row>
    <row r="480" spans="2:11" ht="15">
      <c r="B480" s="181"/>
      <c r="C480" s="181"/>
      <c r="D480" s="239">
        <v>392</v>
      </c>
      <c r="E480" s="240">
        <f t="shared" si="36"/>
        <v>57105</v>
      </c>
      <c r="F480" s="241">
        <f t="shared" si="37"/>
        <v>0</v>
      </c>
      <c r="G480" s="241" t="str">
        <f t="shared" si="38"/>
        <v/>
      </c>
      <c r="H480" s="241" t="str">
        <f t="shared" si="39"/>
        <v/>
      </c>
      <c r="I480" s="242">
        <f t="shared" si="40"/>
        <v>0</v>
      </c>
      <c r="J480" s="230"/>
      <c r="K480" s="231"/>
    </row>
    <row r="481" spans="2:11" ht="15">
      <c r="B481" s="181"/>
      <c r="C481" s="181"/>
      <c r="D481" s="239">
        <v>393</v>
      </c>
      <c r="E481" s="240">
        <f t="shared" si="36"/>
        <v>57136</v>
      </c>
      <c r="F481" s="241">
        <f t="shared" si="37"/>
        <v>0</v>
      </c>
      <c r="G481" s="241" t="str">
        <f t="shared" si="38"/>
        <v/>
      </c>
      <c r="H481" s="241" t="str">
        <f t="shared" si="39"/>
        <v/>
      </c>
      <c r="I481" s="242">
        <f t="shared" si="40"/>
        <v>0</v>
      </c>
      <c r="J481" s="230"/>
      <c r="K481" s="231"/>
    </row>
    <row r="482" spans="2:11" ht="15">
      <c r="B482" s="181"/>
      <c r="C482" s="181"/>
      <c r="D482" s="239">
        <v>394</v>
      </c>
      <c r="E482" s="240">
        <f t="shared" si="36"/>
        <v>57166</v>
      </c>
      <c r="F482" s="241">
        <f t="shared" si="37"/>
        <v>0</v>
      </c>
      <c r="G482" s="241" t="str">
        <f t="shared" si="38"/>
        <v/>
      </c>
      <c r="H482" s="241" t="str">
        <f t="shared" si="39"/>
        <v/>
      </c>
      <c r="I482" s="242">
        <f t="shared" si="40"/>
        <v>0</v>
      </c>
      <c r="J482" s="230"/>
      <c r="K482" s="231"/>
    </row>
    <row r="483" spans="2:11" ht="15">
      <c r="B483" s="181"/>
      <c r="C483" s="181"/>
      <c r="D483" s="239">
        <v>395</v>
      </c>
      <c r="E483" s="240">
        <f t="shared" si="36"/>
        <v>57197</v>
      </c>
      <c r="F483" s="241">
        <f t="shared" si="37"/>
        <v>0</v>
      </c>
      <c r="G483" s="241" t="str">
        <f t="shared" si="38"/>
        <v/>
      </c>
      <c r="H483" s="241" t="str">
        <f t="shared" si="39"/>
        <v/>
      </c>
      <c r="I483" s="242">
        <f t="shared" si="40"/>
        <v>0</v>
      </c>
      <c r="J483" s="230"/>
      <c r="K483" s="231"/>
    </row>
    <row r="484" spans="2:11" ht="15">
      <c r="B484" s="181"/>
      <c r="C484" s="181"/>
      <c r="D484" s="239">
        <v>396</v>
      </c>
      <c r="E484" s="240">
        <f t="shared" si="36"/>
        <v>57228</v>
      </c>
      <c r="F484" s="241">
        <f t="shared" si="37"/>
        <v>0</v>
      </c>
      <c r="G484" s="241" t="str">
        <f t="shared" si="38"/>
        <v/>
      </c>
      <c r="H484" s="241" t="str">
        <f t="shared" si="39"/>
        <v/>
      </c>
      <c r="I484" s="242">
        <f t="shared" si="40"/>
        <v>0</v>
      </c>
      <c r="J484" s="230"/>
      <c r="K484" s="231"/>
    </row>
    <row r="485" spans="2:11" ht="15">
      <c r="B485" s="181"/>
      <c r="C485" s="181"/>
      <c r="D485" s="239">
        <v>397</v>
      </c>
      <c r="E485" s="240">
        <f t="shared" si="36"/>
        <v>57258</v>
      </c>
      <c r="F485" s="241">
        <f t="shared" si="37"/>
        <v>0</v>
      </c>
      <c r="G485" s="241" t="str">
        <f t="shared" si="38"/>
        <v/>
      </c>
      <c r="H485" s="241" t="str">
        <f t="shared" si="39"/>
        <v/>
      </c>
      <c r="I485" s="242">
        <f t="shared" si="40"/>
        <v>0</v>
      </c>
      <c r="J485" s="230"/>
      <c r="K485" s="231"/>
    </row>
    <row r="486" spans="2:11" ht="15">
      <c r="B486" s="181"/>
      <c r="C486" s="181"/>
      <c r="D486" s="239">
        <v>398</v>
      </c>
      <c r="E486" s="240">
        <f t="shared" si="36"/>
        <v>57289</v>
      </c>
      <c r="F486" s="241">
        <f t="shared" si="37"/>
        <v>0</v>
      </c>
      <c r="G486" s="241" t="str">
        <f t="shared" si="38"/>
        <v/>
      </c>
      <c r="H486" s="241" t="str">
        <f t="shared" si="39"/>
        <v/>
      </c>
      <c r="I486" s="242">
        <f t="shared" si="40"/>
        <v>0</v>
      </c>
      <c r="J486" s="230"/>
      <c r="K486" s="231"/>
    </row>
    <row r="487" spans="2:11" ht="15">
      <c r="B487" s="181"/>
      <c r="C487" s="181"/>
      <c r="D487" s="239">
        <v>399</v>
      </c>
      <c r="E487" s="240">
        <f t="shared" si="36"/>
        <v>57319</v>
      </c>
      <c r="F487" s="241">
        <f t="shared" si="37"/>
        <v>0</v>
      </c>
      <c r="G487" s="241" t="str">
        <f t="shared" si="38"/>
        <v/>
      </c>
      <c r="H487" s="241" t="str">
        <f t="shared" si="39"/>
        <v/>
      </c>
      <c r="I487" s="242">
        <f t="shared" si="40"/>
        <v>0</v>
      </c>
      <c r="J487" s="230"/>
      <c r="K487" s="231"/>
    </row>
    <row r="488" spans="2:11" ht="15">
      <c r="B488" s="181"/>
      <c r="C488" s="181"/>
      <c r="D488" s="239">
        <v>400</v>
      </c>
      <c r="E488" s="240">
        <f t="shared" si="36"/>
        <v>57350</v>
      </c>
      <c r="F488" s="241">
        <f t="shared" si="37"/>
        <v>0</v>
      </c>
      <c r="G488" s="241" t="str">
        <f t="shared" si="38"/>
        <v/>
      </c>
      <c r="H488" s="241" t="str">
        <f t="shared" si="39"/>
        <v/>
      </c>
      <c r="I488" s="242">
        <f t="shared" si="40"/>
        <v>0</v>
      </c>
      <c r="J488" s="230"/>
      <c r="K488" s="231"/>
    </row>
    <row r="489" spans="2:11" ht="15">
      <c r="B489" s="181"/>
      <c r="C489" s="181"/>
      <c r="D489" s="239">
        <v>401</v>
      </c>
      <c r="E489" s="240">
        <f t="shared" si="36"/>
        <v>57381</v>
      </c>
      <c r="F489" s="241">
        <f t="shared" si="37"/>
        <v>0</v>
      </c>
      <c r="G489" s="241" t="str">
        <f t="shared" si="38"/>
        <v/>
      </c>
      <c r="H489" s="241" t="str">
        <f t="shared" si="39"/>
        <v/>
      </c>
      <c r="I489" s="242">
        <f t="shared" si="40"/>
        <v>0</v>
      </c>
      <c r="J489" s="230"/>
      <c r="K489" s="231"/>
    </row>
    <row r="490" spans="2:11" ht="15">
      <c r="B490" s="181"/>
      <c r="C490" s="181"/>
      <c r="D490" s="239">
        <v>402</v>
      </c>
      <c r="E490" s="240">
        <f t="shared" si="36"/>
        <v>57409</v>
      </c>
      <c r="F490" s="241">
        <f t="shared" si="37"/>
        <v>0</v>
      </c>
      <c r="G490" s="241" t="str">
        <f t="shared" si="38"/>
        <v/>
      </c>
      <c r="H490" s="241" t="str">
        <f t="shared" si="39"/>
        <v/>
      </c>
      <c r="I490" s="242">
        <f t="shared" si="40"/>
        <v>0</v>
      </c>
      <c r="J490" s="230"/>
      <c r="K490" s="231"/>
    </row>
    <row r="491" spans="2:11" ht="15">
      <c r="B491" s="181"/>
      <c r="C491" s="181"/>
      <c r="D491" s="239">
        <v>403</v>
      </c>
      <c r="E491" s="240">
        <f t="shared" si="36"/>
        <v>57440</v>
      </c>
      <c r="F491" s="241">
        <f t="shared" si="37"/>
        <v>0</v>
      </c>
      <c r="G491" s="241" t="str">
        <f t="shared" si="38"/>
        <v/>
      </c>
      <c r="H491" s="241" t="str">
        <f t="shared" si="39"/>
        <v/>
      </c>
      <c r="I491" s="242">
        <f t="shared" si="40"/>
        <v>0</v>
      </c>
      <c r="J491" s="230"/>
      <c r="K491" s="231"/>
    </row>
    <row r="492" spans="2:11" ht="15">
      <c r="B492" s="181"/>
      <c r="C492" s="181"/>
      <c r="D492" s="239">
        <v>404</v>
      </c>
      <c r="E492" s="240">
        <f t="shared" si="36"/>
        <v>57470</v>
      </c>
      <c r="F492" s="241">
        <f t="shared" si="37"/>
        <v>0</v>
      </c>
      <c r="G492" s="241" t="str">
        <f t="shared" si="38"/>
        <v/>
      </c>
      <c r="H492" s="241" t="str">
        <f t="shared" si="39"/>
        <v/>
      </c>
      <c r="I492" s="242">
        <f t="shared" si="40"/>
        <v>0</v>
      </c>
      <c r="J492" s="230"/>
      <c r="K492" s="231"/>
    </row>
    <row r="493" spans="2:11" ht="15">
      <c r="B493" s="181"/>
      <c r="C493" s="181"/>
      <c r="D493" s="239">
        <v>405</v>
      </c>
      <c r="E493" s="240">
        <f t="shared" si="36"/>
        <v>57501</v>
      </c>
      <c r="F493" s="241">
        <f t="shared" si="37"/>
        <v>0</v>
      </c>
      <c r="G493" s="241" t="str">
        <f t="shared" si="38"/>
        <v/>
      </c>
      <c r="H493" s="241" t="str">
        <f t="shared" si="39"/>
        <v/>
      </c>
      <c r="I493" s="242">
        <f t="shared" si="40"/>
        <v>0</v>
      </c>
      <c r="J493" s="230"/>
      <c r="K493" s="231"/>
    </row>
    <row r="494" spans="2:11" ht="15">
      <c r="B494" s="181"/>
      <c r="C494" s="181"/>
      <c r="D494" s="239">
        <v>406</v>
      </c>
      <c r="E494" s="240">
        <f t="shared" si="36"/>
        <v>57531</v>
      </c>
      <c r="F494" s="241">
        <f t="shared" si="37"/>
        <v>0</v>
      </c>
      <c r="G494" s="241" t="str">
        <f t="shared" si="38"/>
        <v/>
      </c>
      <c r="H494" s="241" t="str">
        <f t="shared" si="39"/>
        <v/>
      </c>
      <c r="I494" s="242">
        <f t="shared" si="40"/>
        <v>0</v>
      </c>
      <c r="J494" s="230"/>
      <c r="K494" s="231"/>
    </row>
    <row r="495" spans="2:11" ht="15">
      <c r="B495" s="181"/>
      <c r="C495" s="181"/>
      <c r="D495" s="239">
        <v>407</v>
      </c>
      <c r="E495" s="240">
        <f t="shared" si="36"/>
        <v>57562</v>
      </c>
      <c r="F495" s="241">
        <f t="shared" si="37"/>
        <v>0</v>
      </c>
      <c r="G495" s="241" t="str">
        <f t="shared" si="38"/>
        <v/>
      </c>
      <c r="H495" s="241" t="str">
        <f t="shared" si="39"/>
        <v/>
      </c>
      <c r="I495" s="242">
        <f t="shared" si="40"/>
        <v>0</v>
      </c>
      <c r="J495" s="230"/>
      <c r="K495" s="231"/>
    </row>
    <row r="496" spans="2:11" ht="15">
      <c r="B496" s="181"/>
      <c r="C496" s="181"/>
      <c r="D496" s="239">
        <v>408</v>
      </c>
      <c r="E496" s="240">
        <f t="shared" si="36"/>
        <v>57593</v>
      </c>
      <c r="F496" s="241">
        <f t="shared" si="37"/>
        <v>0</v>
      </c>
      <c r="G496" s="241" t="str">
        <f t="shared" si="38"/>
        <v/>
      </c>
      <c r="H496" s="241" t="str">
        <f t="shared" si="39"/>
        <v/>
      </c>
      <c r="I496" s="242">
        <f t="shared" si="40"/>
        <v>0</v>
      </c>
      <c r="J496" s="230"/>
      <c r="K496" s="231"/>
    </row>
    <row r="497" spans="2:11" ht="15">
      <c r="B497" s="181"/>
      <c r="C497" s="181"/>
      <c r="D497" s="239">
        <v>409</v>
      </c>
      <c r="E497" s="240">
        <f t="shared" si="36"/>
        <v>57623</v>
      </c>
      <c r="F497" s="241">
        <f t="shared" si="37"/>
        <v>0</v>
      </c>
      <c r="G497" s="241" t="str">
        <f t="shared" si="38"/>
        <v/>
      </c>
      <c r="H497" s="241" t="str">
        <f t="shared" si="39"/>
        <v/>
      </c>
      <c r="I497" s="242">
        <f t="shared" si="40"/>
        <v>0</v>
      </c>
      <c r="J497" s="230"/>
      <c r="K497" s="231"/>
    </row>
    <row r="498" spans="2:11" ht="15">
      <c r="B498" s="181"/>
      <c r="C498" s="181"/>
      <c r="D498" s="239">
        <v>410</v>
      </c>
      <c r="E498" s="240">
        <f t="shared" si="36"/>
        <v>57654</v>
      </c>
      <c r="F498" s="241">
        <f t="shared" si="37"/>
        <v>0</v>
      </c>
      <c r="G498" s="241" t="str">
        <f t="shared" si="38"/>
        <v/>
      </c>
      <c r="H498" s="241" t="str">
        <f t="shared" si="39"/>
        <v/>
      </c>
      <c r="I498" s="242">
        <f t="shared" si="40"/>
        <v>0</v>
      </c>
      <c r="J498" s="230"/>
      <c r="K498" s="231"/>
    </row>
    <row r="499" spans="2:11" ht="15">
      <c r="B499" s="181"/>
      <c r="C499" s="181"/>
      <c r="D499" s="239">
        <v>411</v>
      </c>
      <c r="E499" s="240">
        <f t="shared" si="36"/>
        <v>57684</v>
      </c>
      <c r="F499" s="241">
        <f t="shared" si="37"/>
        <v>0</v>
      </c>
      <c r="G499" s="241" t="str">
        <f t="shared" si="38"/>
        <v/>
      </c>
      <c r="H499" s="241" t="str">
        <f t="shared" si="39"/>
        <v/>
      </c>
      <c r="I499" s="242">
        <f t="shared" si="40"/>
        <v>0</v>
      </c>
      <c r="J499" s="230"/>
      <c r="K499" s="231"/>
    </row>
    <row r="500" spans="2:11" ht="15">
      <c r="B500" s="181"/>
      <c r="C500" s="181"/>
      <c r="D500" s="239">
        <v>412</v>
      </c>
      <c r="E500" s="240">
        <f t="shared" si="36"/>
        <v>57715</v>
      </c>
      <c r="F500" s="241">
        <f t="shared" si="37"/>
        <v>0</v>
      </c>
      <c r="G500" s="241" t="str">
        <f t="shared" si="38"/>
        <v/>
      </c>
      <c r="H500" s="241" t="str">
        <f t="shared" si="39"/>
        <v/>
      </c>
      <c r="I500" s="242">
        <f t="shared" si="40"/>
        <v>0</v>
      </c>
      <c r="J500" s="230"/>
      <c r="K500" s="231"/>
    </row>
    <row r="501" spans="2:11" ht="15">
      <c r="B501" s="181"/>
      <c r="C501" s="181"/>
      <c r="D501" s="239">
        <v>413</v>
      </c>
      <c r="E501" s="240">
        <f t="shared" si="36"/>
        <v>57746</v>
      </c>
      <c r="F501" s="241">
        <f t="shared" si="37"/>
        <v>0</v>
      </c>
      <c r="G501" s="241" t="str">
        <f t="shared" si="38"/>
        <v/>
      </c>
      <c r="H501" s="241" t="str">
        <f t="shared" si="39"/>
        <v/>
      </c>
      <c r="I501" s="242">
        <f t="shared" si="40"/>
        <v>0</v>
      </c>
      <c r="J501" s="230"/>
      <c r="K501" s="231"/>
    </row>
    <row r="502" spans="2:11" ht="15">
      <c r="B502" s="181"/>
      <c r="C502" s="181"/>
      <c r="D502" s="239">
        <v>414</v>
      </c>
      <c r="E502" s="240">
        <f t="shared" si="36"/>
        <v>57774</v>
      </c>
      <c r="F502" s="241">
        <f t="shared" si="37"/>
        <v>0</v>
      </c>
      <c r="G502" s="241" t="str">
        <f t="shared" si="38"/>
        <v/>
      </c>
      <c r="H502" s="241" t="str">
        <f t="shared" si="39"/>
        <v/>
      </c>
      <c r="I502" s="242">
        <f t="shared" si="40"/>
        <v>0</v>
      </c>
      <c r="J502" s="230"/>
      <c r="K502" s="231"/>
    </row>
    <row r="503" spans="2:11" ht="15">
      <c r="B503" s="181"/>
      <c r="C503" s="181"/>
      <c r="D503" s="239">
        <v>415</v>
      </c>
      <c r="E503" s="240">
        <f t="shared" si="36"/>
        <v>57805</v>
      </c>
      <c r="F503" s="241">
        <f t="shared" si="37"/>
        <v>0</v>
      </c>
      <c r="G503" s="241" t="str">
        <f t="shared" si="38"/>
        <v/>
      </c>
      <c r="H503" s="241" t="str">
        <f t="shared" si="39"/>
        <v/>
      </c>
      <c r="I503" s="242">
        <f t="shared" si="40"/>
        <v>0</v>
      </c>
      <c r="J503" s="230"/>
      <c r="K503" s="231"/>
    </row>
    <row r="504" spans="2:11" ht="15">
      <c r="B504" s="181"/>
      <c r="C504" s="181"/>
      <c r="D504" s="239">
        <v>416</v>
      </c>
      <c r="E504" s="240">
        <f t="shared" si="36"/>
        <v>57835</v>
      </c>
      <c r="F504" s="241">
        <f t="shared" si="37"/>
        <v>0</v>
      </c>
      <c r="G504" s="241" t="str">
        <f t="shared" si="38"/>
        <v/>
      </c>
      <c r="H504" s="241" t="str">
        <f t="shared" si="39"/>
        <v/>
      </c>
      <c r="I504" s="242">
        <f t="shared" si="40"/>
        <v>0</v>
      </c>
      <c r="J504" s="230"/>
      <c r="K504" s="231"/>
    </row>
    <row r="505" spans="2:11" ht="15">
      <c r="B505" s="181"/>
      <c r="C505" s="181"/>
      <c r="D505" s="239">
        <v>417</v>
      </c>
      <c r="E505" s="240">
        <f t="shared" si="36"/>
        <v>57866</v>
      </c>
      <c r="F505" s="241">
        <f t="shared" si="37"/>
        <v>0</v>
      </c>
      <c r="G505" s="241" t="str">
        <f t="shared" si="38"/>
        <v/>
      </c>
      <c r="H505" s="241" t="str">
        <f t="shared" si="39"/>
        <v/>
      </c>
      <c r="I505" s="242">
        <f t="shared" si="40"/>
        <v>0</v>
      </c>
      <c r="J505" s="230"/>
      <c r="K505" s="231"/>
    </row>
    <row r="506" spans="2:11" ht="15">
      <c r="B506" s="181"/>
      <c r="C506" s="181"/>
      <c r="D506" s="239">
        <v>418</v>
      </c>
      <c r="E506" s="240">
        <f t="shared" si="36"/>
        <v>57896</v>
      </c>
      <c r="F506" s="241">
        <f t="shared" si="37"/>
        <v>0</v>
      </c>
      <c r="G506" s="241" t="str">
        <f t="shared" si="38"/>
        <v/>
      </c>
      <c r="H506" s="241" t="str">
        <f t="shared" si="39"/>
        <v/>
      </c>
      <c r="I506" s="242">
        <f t="shared" si="40"/>
        <v>0</v>
      </c>
      <c r="J506" s="230"/>
      <c r="K506" s="231"/>
    </row>
    <row r="507" spans="2:11" ht="15">
      <c r="B507" s="181"/>
      <c r="C507" s="181"/>
      <c r="D507" s="239">
        <v>419</v>
      </c>
      <c r="E507" s="240">
        <f t="shared" si="36"/>
        <v>57927</v>
      </c>
      <c r="F507" s="241">
        <f t="shared" si="37"/>
        <v>0</v>
      </c>
      <c r="G507" s="241" t="str">
        <f t="shared" si="38"/>
        <v/>
      </c>
      <c r="H507" s="241" t="str">
        <f t="shared" si="39"/>
        <v/>
      </c>
      <c r="I507" s="242">
        <f t="shared" si="40"/>
        <v>0</v>
      </c>
      <c r="J507" s="230"/>
      <c r="K507" s="231"/>
    </row>
    <row r="508" spans="2:11" ht="15.75" thickBot="1">
      <c r="B508" s="181"/>
      <c r="C508" s="181"/>
      <c r="D508" s="243">
        <v>420</v>
      </c>
      <c r="E508" s="240">
        <f t="shared" si="36"/>
        <v>57958</v>
      </c>
      <c r="F508" s="241">
        <f t="shared" si="37"/>
        <v>0</v>
      </c>
      <c r="G508" s="241" t="str">
        <f t="shared" si="38"/>
        <v/>
      </c>
      <c r="H508" s="241" t="str">
        <f t="shared" si="39"/>
        <v/>
      </c>
      <c r="I508" s="242">
        <f t="shared" si="40"/>
        <v>0</v>
      </c>
      <c r="J508" s="230"/>
      <c r="K508" s="231"/>
    </row>
    <row r="509" spans="2:11" ht="15">
      <c r="B509" s="181"/>
      <c r="C509" s="181"/>
      <c r="D509" s="181"/>
      <c r="E509" s="181"/>
      <c r="F509" s="181"/>
      <c r="G509" s="181"/>
      <c r="H509" s="181"/>
      <c r="I509" s="181"/>
      <c r="J509" s="230"/>
      <c r="K509" s="231"/>
    </row>
  </sheetData>
  <sheetProtection algorithmName="SHA-512" hashValue="N9VoecA8fQ5CNyayjfWKRud4JAXuroTA/QLu9nuHp9+DIBEy83gwSm0cegTI61tJNgrA5jB+Bl45o7vr91TPMw==" saltValue="oDslewbvP3SLJ9hX84kZ/A==" spinCount="100000" sheet="1" formatCells="0" formatColumns="0" formatRows="0"/>
  <mergeCells count="16">
    <mergeCell ref="E16:F16"/>
    <mergeCell ref="B22:C22"/>
    <mergeCell ref="B31:C31"/>
    <mergeCell ref="B23:C23"/>
    <mergeCell ref="B24:C24"/>
    <mergeCell ref="B82:J82"/>
    <mergeCell ref="E86:G86"/>
    <mergeCell ref="C45:J45"/>
    <mergeCell ref="B49:I49"/>
    <mergeCell ref="B51:C51"/>
    <mergeCell ref="B52:C52"/>
    <mergeCell ref="E56:G56"/>
    <mergeCell ref="B58:G58"/>
    <mergeCell ref="B60:C60"/>
    <mergeCell ref="B62:C62"/>
    <mergeCell ref="B64:D64"/>
  </mergeCells>
  <conditionalFormatting sqref="E29:K29">
    <cfRule type="containsText" dxfId="4" priority="2" operator="containsText" text="Увеличь ПВ">
      <formula>NOT(ISERROR(SEARCH("Увеличь ПВ",E29)))</formula>
    </cfRule>
  </conditionalFormatting>
  <conditionalFormatting sqref="E30:K30">
    <cfRule type="containsText" dxfId="3" priority="1" operator="containsText" text="Сумма кредита превышает лимит ГП">
      <formula>NOT(ISERROR(SEARCH("Сумма кредита превышает лимит ГП",E30)))</formula>
    </cfRule>
  </conditionalFormatting>
  <pageMargins left="0.56999999999999995" right="0.25" top="0.75" bottom="0.42" header="0.3" footer="0.3"/>
  <pageSetup paperSize="9" scale="54" fitToHeight="0" orientation="landscape" r:id="rId1"/>
  <rowBreaks count="1" manualBreakCount="1">
    <brk id="76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646B1-8B90-4858-AE64-B486D3C1AEAE}">
  <dimension ref="A1:T39"/>
  <sheetViews>
    <sheetView zoomScale="90" zoomScaleNormal="90" workbookViewId="0">
      <selection activeCell="B3" sqref="B3"/>
    </sheetView>
  </sheetViews>
  <sheetFormatPr defaultRowHeight="15"/>
  <cols>
    <col min="1" max="1" width="16.5703125" customWidth="1"/>
    <col min="2" max="4" width="19.42578125" customWidth="1"/>
    <col min="5" max="10" width="9.42578125" customWidth="1"/>
    <col min="11" max="11" width="16.5703125" customWidth="1"/>
    <col min="12" max="12" width="19.5703125" customWidth="1"/>
    <col min="13" max="13" width="18.42578125" customWidth="1"/>
    <col min="14" max="14" width="13.42578125" customWidth="1"/>
    <col min="15" max="15" width="20.42578125" customWidth="1"/>
    <col min="16" max="16" width="9.42578125" customWidth="1"/>
    <col min="17" max="20" width="20.5703125" customWidth="1"/>
  </cols>
  <sheetData>
    <row r="1" spans="1:13">
      <c r="A1" s="327"/>
      <c r="B1" s="548" t="s">
        <v>253</v>
      </c>
      <c r="C1" s="548"/>
      <c r="D1" s="548"/>
    </row>
    <row r="2" spans="1:13">
      <c r="A2" s="327"/>
      <c r="B2" s="328" t="s">
        <v>156</v>
      </c>
      <c r="C2" s="328" t="s">
        <v>251</v>
      </c>
      <c r="D2" s="328" t="s">
        <v>133</v>
      </c>
      <c r="L2" s="343" t="s">
        <v>258</v>
      </c>
    </row>
    <row r="3" spans="1:13">
      <c r="A3" s="518" t="s">
        <v>249</v>
      </c>
      <c r="B3" s="523">
        <v>4.99E-2</v>
      </c>
      <c r="C3" s="329" t="s">
        <v>256</v>
      </c>
      <c r="D3" s="329" t="s">
        <v>256</v>
      </c>
      <c r="L3" s="459" t="str">
        <f>IF(AND('Основной лист заполнения данных'!$E$4="Кэшбэк 2.0 (потреб. кредит)",'Основной лист заполнения данных'!$D$9="да"),'Субсидирование (Кэшбэк 2.0)'!A3,IF(AND('Основной лист заполнения данных'!$E$4="Кэшбэк 2.0 (потреб. кредит)",'Основной лист заполнения данных'!$D$9="нет"),'Субсидирование (Кэшбэк 2.0)'!A10,IF('Основной лист заполнения данных'!$D$9="да",IF(OR('Основной лист заполнения данных'!$D$10="Стандартная ипотека",'Основной лист заполнения данных'!$D$10="ИТ"),"",Субсидирование!A3),"")))</f>
        <v>Альфа банк</v>
      </c>
    </row>
    <row r="4" spans="1:13">
      <c r="A4" s="327" t="s">
        <v>317</v>
      </c>
      <c r="B4" s="329" t="s">
        <v>256</v>
      </c>
      <c r="C4" s="329" t="s">
        <v>256</v>
      </c>
      <c r="D4" s="329" t="s">
        <v>256</v>
      </c>
      <c r="L4" s="460" t="str">
        <f>IF(AND('Основной лист заполнения данных'!$E$4="Кэшбэк 2.0 (потреб. кредит)",'Основной лист заполнения данных'!$D$9="да"),'Субсидирование (Кэшбэк 2.0)'!A4,IF(AND('Основной лист заполнения данных'!$E$4="Кэшбэк 2.0 (потреб. кредит)",'Основной лист заполнения данных'!$D$9="нет"),"",IF('Основной лист заполнения данных'!$D$9="да",IF(OR('Основной лист заполнения данных'!$D$10="Стандартная ипотека",'Основной лист заполнения данных'!$D$10="ИТ"),"",""),"")))</f>
        <v>Дом.РФ</v>
      </c>
    </row>
    <row r="5" spans="1:13">
      <c r="A5" s="327" t="s">
        <v>255</v>
      </c>
      <c r="B5" s="329">
        <v>0.10199999999999999</v>
      </c>
      <c r="C5" s="329" t="s">
        <v>256</v>
      </c>
      <c r="D5" s="329" t="s">
        <v>256</v>
      </c>
      <c r="L5" s="460" t="str">
        <f>IF(AND('Основной лист заполнения данных'!$E$4="Кэшбэк 2.0 (потреб. кредит)",'Основной лист заполнения данных'!$D$9="да"),'Субсидирование (Кэшбэк 2.0)'!A5,IF(AND('Основной лист заполнения данных'!$E$4="Кэшбэк 2.0 (потреб. кредит)",'Основной лист заполнения данных'!$D$9="нет"),"",IF('Основной лист заполнения данных'!$D$9="да",IF(OR('Основной лист заполнения данных'!$D$10="Стандартная ипотека",'Основной лист заполнения данных'!$D$10="ИТ"),"",Субсидирование!A5),"")))</f>
        <v>Абсолют</v>
      </c>
    </row>
    <row r="6" spans="1:13">
      <c r="A6" s="327" t="s">
        <v>373</v>
      </c>
      <c r="B6" s="329" t="s">
        <v>256</v>
      </c>
      <c r="C6" s="329" t="s">
        <v>256</v>
      </c>
      <c r="D6" s="329" t="s">
        <v>256</v>
      </c>
      <c r="L6" s="460" t="str">
        <f>IF(AND('Основной лист заполнения данных'!$E$4="Кэшбэк 2.0 (потреб. кредит)",'Основной лист заполнения данных'!$D$9="да"),'Субсидирование (Кэшбэк 2.0)'!A6,IF(AND('Основной лист заполнения данных'!$E$4="Кэшбэк 2.0 (потреб. кредит)",'Основной лист заполнения данных'!$D$9="нет"),"",IF('Основной лист заполнения данных'!$D$9="да",IF(OR('Основной лист заполнения данных'!$D$10="Стандартная ипотека",'Основной лист заполнения данных'!$D$10="ИТ"),"",""),"")))</f>
        <v>ВТБ</v>
      </c>
    </row>
    <row r="7" spans="1:13">
      <c r="A7" s="327" t="s">
        <v>393</v>
      </c>
      <c r="B7" s="329"/>
      <c r="C7" s="329"/>
      <c r="D7" s="329"/>
      <c r="L7" s="460" t="str">
        <f>IF(AND('Основной лист заполнения данных'!$E$4="Кэшбэк 2.0 (потреб. кредит)",'Основной лист заполнения данных'!$D$9="да"),'Субсидирование (Кэшбэк 2.0)'!A7,IF(AND('Основной лист заполнения данных'!$E$4="Кэшбэк 2.0 (потреб. кредит)",'Основной лист заполнения данных'!$D$9="нет"),"",IF('Основной лист заполнения данных'!$D$9="да","",Субсидирование!A7)))</f>
        <v>МКБ</v>
      </c>
    </row>
    <row r="8" spans="1:13">
      <c r="A8" t="str">
        <f>""</f>
        <v/>
      </c>
      <c r="B8" s="329"/>
      <c r="C8" s="3"/>
      <c r="D8" s="3"/>
      <c r="L8" s="460" t="str">
        <f>IF(AND('Основной лист заполнения данных'!$E$4="Кэшбэк 2.0 (потреб. кредит)",'Основной лист заполнения данных'!$D$9="да"),'Субсидирование (Кэшбэк 2.0)'!A8,IF(AND('Основной лист заполнения данных'!$E$4="Кэшбэк 2.0 (потреб. кредит)",'Основной лист заполнения данных'!$D$9="нет"),"",IF('Основной лист заполнения данных'!$D$9="да",Субсидирование!A8,Субсидирование!A8)))</f>
        <v>Промсвязьбанк</v>
      </c>
    </row>
    <row r="9" spans="1:13">
      <c r="A9" t="str">
        <f>""</f>
        <v/>
      </c>
      <c r="B9" s="3"/>
      <c r="C9" s="3"/>
      <c r="D9" s="3"/>
      <c r="L9" s="460" t="str">
        <f>IF(AND('Основной лист заполнения данных'!$E$4="Кэшбэк 2.0 (потреб. кредит)",'Основной лист заполнения данных'!$D$9="да"),'Субсидирование (Кэшбэк 2.0)'!A9,IF(AND('Основной лист заполнения данных'!$E$4="Кэшбэк 2.0 (потреб. кредит)",'Основной лист заполнения данных'!$D$9="нет"),"",IF('Основной лист заполнения данных'!$D$9="да",Субсидирование!A9,Субсидирование!A9)))</f>
        <v>Газпромбанк</v>
      </c>
    </row>
    <row r="10" spans="1:13">
      <c r="A10" s="327" t="str">
        <f>""</f>
        <v/>
      </c>
      <c r="B10" s="547" t="s">
        <v>277</v>
      </c>
      <c r="C10" s="547"/>
      <c r="D10" s="547"/>
      <c r="L10" s="460" t="str">
        <f>IF(AND('Основной лист заполнения данных'!$E$4="Кэшбэк 2.0 (потреб. кредит)",'Основной лист заполнения данных'!$D$9="да"),'Субсидирование (Кэшбэк 2.0)'!A10,IF(AND('Основной лист заполнения данных'!$E$4="Кэшбэк 2.0 (потреб. кредит)",'Основной лист заполнения данных'!$D$9="нет"),"",IF('Основной лист заполнения данных'!$D$9="да",Субсидирование!A9,Субсидирование!A9)))</f>
        <v>Банк без субсидирования</v>
      </c>
      <c r="M10" s="415" t="s">
        <v>297</v>
      </c>
    </row>
    <row r="11" spans="1:13">
      <c r="A11" s="327"/>
      <c r="B11" s="328" t="s">
        <v>156</v>
      </c>
      <c r="C11" s="328" t="s">
        <v>251</v>
      </c>
      <c r="D11" s="328" t="s">
        <v>133</v>
      </c>
      <c r="L11" s="516" t="str">
        <f>IF(AND('Основной лист заполнения данных'!$E$4="Кэшбэк 2.0 (потреб. кредит)",'Основной лист заполнения данных'!$D$9="да"),"",IF(AND('Основной лист заполнения данных'!$E$4="Кэшбэк 2.0 (потреб. кредит)",'Основной лист заполнения данных'!$D$9="нет"),"",IF('Основной лист заполнения данных'!$D$9="да",Субсидирование!A10,Субсидирование!A10)))</f>
        <v/>
      </c>
      <c r="M11" s="415" t="s">
        <v>297</v>
      </c>
    </row>
    <row r="12" spans="1:13">
      <c r="A12" s="327" t="str">
        <f>A3</f>
        <v>Альфа банк</v>
      </c>
      <c r="B12" s="522">
        <f>B3+L21</f>
        <v>4.99E-2</v>
      </c>
      <c r="C12" s="373" t="e">
        <f t="shared" ref="C12:D15" si="0">C3+N21</f>
        <v>#VALUE!</v>
      </c>
      <c r="D12" s="373" t="e">
        <f t="shared" si="0"/>
        <v>#VALUE!</v>
      </c>
      <c r="F12" s="335"/>
      <c r="K12" s="327" t="str">
        <f>A3</f>
        <v>Альфа банк</v>
      </c>
      <c r="L12" s="327"/>
    </row>
    <row r="13" spans="1:13">
      <c r="A13" s="327" t="str">
        <f t="shared" ref="A13:A16" si="1">A4</f>
        <v>Ак Барс банк</v>
      </c>
      <c r="B13" s="373" t="e">
        <f>B4+L22</f>
        <v>#VALUE!</v>
      </c>
      <c r="C13" s="373" t="e">
        <f t="shared" si="0"/>
        <v>#VALUE!</v>
      </c>
      <c r="D13" s="373" t="e">
        <f t="shared" si="0"/>
        <v>#VALUE!</v>
      </c>
      <c r="K13" s="327" t="str">
        <f>A4</f>
        <v>Ак Барс банк</v>
      </c>
      <c r="L13" s="327"/>
    </row>
    <row r="14" spans="1:13">
      <c r="A14" s="327" t="str">
        <f t="shared" si="1"/>
        <v>Абсолют</v>
      </c>
      <c r="B14" s="522">
        <f>B5+L23</f>
        <v>0.10199999999999999</v>
      </c>
      <c r="C14" s="373" t="e">
        <f t="shared" si="0"/>
        <v>#VALUE!</v>
      </c>
      <c r="D14" s="373" t="e">
        <f t="shared" si="0"/>
        <v>#VALUE!</v>
      </c>
      <c r="K14" s="327" t="str">
        <f>A5</f>
        <v>Абсолют</v>
      </c>
      <c r="L14" s="327"/>
    </row>
    <row r="15" spans="1:13">
      <c r="A15" s="327" t="str">
        <f t="shared" si="1"/>
        <v xml:space="preserve">Промсвязьбанк </v>
      </c>
      <c r="B15" s="373" t="e">
        <f>B6+L24</f>
        <v>#VALUE!</v>
      </c>
      <c r="C15" s="373" t="e">
        <f t="shared" si="0"/>
        <v>#VALUE!</v>
      </c>
      <c r="D15" s="373" t="e">
        <f t="shared" si="0"/>
        <v>#VALUE!</v>
      </c>
      <c r="K15" s="327" t="str">
        <f>A6</f>
        <v xml:space="preserve">Промсвязьбанк </v>
      </c>
      <c r="L15" s="327"/>
    </row>
    <row r="16" spans="1:13">
      <c r="A16" s="327" t="str">
        <f t="shared" si="1"/>
        <v>Альфа банк (комбо)</v>
      </c>
      <c r="B16" s="373"/>
      <c r="C16" s="373"/>
      <c r="D16" s="373"/>
      <c r="K16" s="327" t="str">
        <f>A7</f>
        <v>Альфа банк (комбо)</v>
      </c>
      <c r="L16" s="327"/>
    </row>
    <row r="17" spans="1:20">
      <c r="A17" s="327"/>
      <c r="B17" s="3"/>
      <c r="C17" s="3"/>
      <c r="D17" s="3"/>
      <c r="L17" s="327"/>
    </row>
    <row r="18" spans="1:20">
      <c r="A18" s="327"/>
      <c r="B18" s="3"/>
      <c r="C18" s="3"/>
      <c r="D18" s="3"/>
    </row>
    <row r="19" spans="1:20">
      <c r="A19" s="327"/>
      <c r="B19" s="548" t="s">
        <v>254</v>
      </c>
      <c r="C19" s="548"/>
      <c r="D19" s="548"/>
      <c r="L19" s="545" t="s">
        <v>266</v>
      </c>
      <c r="M19" s="545"/>
      <c r="N19" s="545"/>
      <c r="O19" s="545"/>
      <c r="Q19" s="545" t="s">
        <v>276</v>
      </c>
      <c r="R19" s="545"/>
      <c r="S19" s="545"/>
      <c r="T19" s="545"/>
    </row>
    <row r="20" spans="1:20">
      <c r="A20" s="327"/>
      <c r="B20" s="328" t="s">
        <v>156</v>
      </c>
      <c r="C20" s="328" t="s">
        <v>251</v>
      </c>
      <c r="D20" s="328" t="s">
        <v>133</v>
      </c>
      <c r="L20" s="328" t="str">
        <f>B2</f>
        <v>Семейная ипотека</v>
      </c>
      <c r="M20" s="328" t="e">
        <f>#REF!</f>
        <v>#REF!</v>
      </c>
      <c r="N20" s="328" t="str">
        <f>C2</f>
        <v>ИТ</v>
      </c>
      <c r="O20" s="328" t="str">
        <f>D2</f>
        <v>Стандартная ипотека</v>
      </c>
      <c r="Q20" s="328">
        <f>F2</f>
        <v>0</v>
      </c>
      <c r="R20" s="328">
        <f>G2</f>
        <v>0</v>
      </c>
      <c r="S20" s="328">
        <f>H2</f>
        <v>0</v>
      </c>
      <c r="T20" s="328">
        <f>I2</f>
        <v>0</v>
      </c>
    </row>
    <row r="21" spans="1:20">
      <c r="A21" s="327" t="str">
        <f>A3</f>
        <v>Альфа банк</v>
      </c>
      <c r="B21" s="329">
        <v>5.9900000000000002E-2</v>
      </c>
      <c r="C21" s="329" t="s">
        <v>256</v>
      </c>
      <c r="D21" s="329" t="s">
        <v>256</v>
      </c>
      <c r="L21" s="372">
        <f>IF(B3&lt;=1%,0%,IF(AND(B3&gt;=1%,B3&lt;=4%),1%,IF(AND(B3&gt;=4%,B3&lt;=6%),0%,IF(AND(B3&gt;=6%,B3&lt;=8%),0.5%,IF(AND(B3&gt;=8%,B3&lt;=12%),1.5%,IF(AND(B3&gt;=12%,B3&lt;=15%),2%,"Ошибка"))))))+Q21</f>
        <v>0</v>
      </c>
      <c r="M21" s="372" t="e">
        <f>IF(#REF!&lt;=1%,0%,IF(AND(#REF!&gt;=1%,#REF!&lt;=4%),1%,IF(AND(#REF!&gt;=4%,#REF!&lt;=6%),0.5%,IF(AND(#REF!&gt;=6%,#REF!&lt;=8%),0.5%,IF(AND(#REF!&gt;=8%,#REF!&lt;=12%),1.5%,IF(AND(#REF!&gt;=12%,#REF!&lt;=15%),2%,"Ошибка"))))))+R21</f>
        <v>#REF!</v>
      </c>
      <c r="N21" s="372" t="e">
        <f t="shared" ref="N21:N24" si="2">IF(C3&lt;=1%,0%,IF(AND(C3&gt;=1%,C3&lt;=4%),1%,IF(AND(C3&gt;=4%,C3&lt;=6%),0.5%,IF(AND(C3&gt;=6%,C3&lt;=8%),0.5%,IF(AND(C3&gt;=8%,C3&lt;=12%),1.5%,IF(AND(C3&gt;=12%,C3&lt;=15%),2%,"Ошибка"))))))+S21</f>
        <v>#VALUE!</v>
      </c>
      <c r="O21" s="336"/>
      <c r="Q21" s="372">
        <f>IF(F3&lt;=1%,0%,IF(AND(F3&gt;=1%,F3&lt;=4%),1%,IF(AND(F3&gt;=4%,F3&lt;=6%),0.5%,IF(AND(F3&gt;=6%,F3&lt;=8%),0.5%,IF(AND(F3&gt;=8%,F3&lt;=12%),1.5%,IF(AND(F3&gt;=12%,F3&lt;=15%),2%,"Ошибка"))))))</f>
        <v>0</v>
      </c>
      <c r="R21" s="372">
        <f>IF(G3&lt;=1%,0%,IF(AND(G3&gt;=1%,G3&lt;=4%),1%,IF(AND(G3&gt;=4%,G3&lt;=6%),0.5%,IF(AND(G3&gt;=6%,G3&lt;=8%),0.5%,IF(AND(G3&gt;=8%,G3&lt;=12%),1.5%,IF(AND(G3&gt;=12%,G3&lt;=15%),2%,"Ошибка"))))))</f>
        <v>0</v>
      </c>
      <c r="S21" s="372">
        <f>IF(H3&lt;=1%,0%,IF(AND(H3&gt;=1%,H3&lt;=4%),1%,IF(AND(H3&gt;=4%,H3&lt;=6%),0.5%,IF(AND(H3&gt;=6%,H3&lt;=8%),0.5%,IF(AND(H3&gt;=8%,H3&lt;=12%),1.5%,IF(AND(H3&gt;=12%,H3&lt;=15%),2%,"Ошибка"))))))</f>
        <v>0</v>
      </c>
      <c r="T21" s="336"/>
    </row>
    <row r="22" spans="1:20">
      <c r="A22" s="327" t="str">
        <f t="shared" ref="A22:A25" si="3">A4</f>
        <v>Ак Барс банк</v>
      </c>
      <c r="B22" s="329" t="s">
        <v>256</v>
      </c>
      <c r="C22" s="329" t="s">
        <v>256</v>
      </c>
      <c r="D22" s="329" t="s">
        <v>256</v>
      </c>
      <c r="L22" s="372" t="e">
        <f>IF(B4&lt;=1%,0%,IF(AND(B4&gt;=1%,B4&lt;=4%),1%,IF(AND(B4&gt;=4%,B4&lt;=6%),0.5%,IF(AND(B4&gt;=6%,B4&lt;=8%),0.5%,IF(AND(B4&gt;=8%,B4&lt;=12%),1.5%,IF(AND(B4&gt;=12%,B4&lt;=15%),2%,"Ошибка"))))))+Q22</f>
        <v>#VALUE!</v>
      </c>
      <c r="M22" s="372" t="e">
        <f>IF(#REF!&lt;=1%,0%,IF(AND(#REF!&gt;=1%,#REF!&lt;=4%),1%,IF(AND(#REF!&gt;=4%,#REF!&lt;=6%),0.5%,IF(AND(#REF!&gt;=6%,#REF!&lt;=8%),0.5%,IF(AND(#REF!&gt;=8%,#REF!&lt;=12%),1.5%,IF(AND(#REF!&gt;=12%,#REF!&lt;=15%),2%,"Ошибка"))))))+R22</f>
        <v>#REF!</v>
      </c>
      <c r="N22" s="372" t="e">
        <f t="shared" si="2"/>
        <v>#VALUE!</v>
      </c>
      <c r="Q22" s="372">
        <f t="shared" ref="Q22:Q25" si="4">IF(F4&lt;=1%,0%,IF(AND(F4&gt;=1%,F4&lt;=4%),1%,IF(AND(F4&gt;=4%,F4&lt;=6%),0.5%,IF(AND(F4&gt;=6%,F4&lt;=8%),0.5%,IF(AND(F4&gt;=8%,F4&lt;=12%),1.5%,IF(AND(F4&gt;=12%,F4&lt;=15%),2%,"Ошибка"))))))</f>
        <v>0</v>
      </c>
      <c r="R22" s="372">
        <f t="shared" ref="R22:S25" si="5">IF(G4&lt;=1%,0%,IF(AND(G4&gt;=1%,G4&lt;=4%),1%,IF(AND(G4&gt;=4%,G4&lt;=6%),0.5%,IF(AND(G4&gt;=6%,G4&lt;=8%),0.5%,IF(AND(G4&gt;=8%,G4&lt;=12%),1.5%,IF(AND(G4&gt;=12%,G4&lt;=15%),2%,"Ошибка"))))))</f>
        <v>0</v>
      </c>
      <c r="S22" s="372">
        <f t="shared" si="5"/>
        <v>0</v>
      </c>
    </row>
    <row r="23" spans="1:20">
      <c r="A23" s="327" t="str">
        <f t="shared" si="3"/>
        <v>Абсолют</v>
      </c>
      <c r="B23" s="515">
        <v>5.9900000000000002E-2</v>
      </c>
      <c r="C23" s="515" t="s">
        <v>256</v>
      </c>
      <c r="D23" s="515" t="s">
        <v>256</v>
      </c>
      <c r="L23" s="372">
        <f>IF(B5&lt;=1%,0%,IF(AND(B5&gt;=1%,B5&lt;=4%),1%,IF(AND(B5&gt;=4%,B5&lt;=6%),0.5%,IF(AND(B5&gt;=6%,B5&lt;=8%),0.5%,IF(AND(B5&gt;=8%,B5&lt;=12%),0%,IF(AND(B5&gt;=12%,B5&lt;=15%),2%,"Ошибка"))))))+Q23</f>
        <v>0</v>
      </c>
      <c r="M23" s="372" t="e">
        <f>IF(#REF!&lt;=1%,0%,IF(AND(#REF!&gt;=1%,#REF!&lt;=4%),1%,IF(AND(#REF!&gt;=4%,#REF!&lt;=6%),0.5%,IF(AND(#REF!&gt;=6%,#REF!&lt;=8%),0.5%,IF(AND(#REF!&gt;=8%,#REF!&lt;=12%),1.5%,IF(AND(#REF!&gt;=12%,#REF!&lt;=15%),2%,"Ошибка"))))))+R23</f>
        <v>#REF!</v>
      </c>
      <c r="N23" s="372" t="e">
        <f t="shared" si="2"/>
        <v>#VALUE!</v>
      </c>
      <c r="Q23" s="372">
        <f t="shared" si="4"/>
        <v>0</v>
      </c>
      <c r="R23" s="372">
        <f t="shared" si="5"/>
        <v>0</v>
      </c>
      <c r="S23" s="372">
        <f t="shared" si="5"/>
        <v>0</v>
      </c>
    </row>
    <row r="24" spans="1:20">
      <c r="A24" s="327" t="str">
        <f t="shared" si="3"/>
        <v xml:space="preserve">Промсвязьбанк </v>
      </c>
      <c r="B24" s="329" t="s">
        <v>256</v>
      </c>
      <c r="C24" s="329" t="s">
        <v>256</v>
      </c>
      <c r="D24" s="329" t="s">
        <v>256</v>
      </c>
      <c r="L24" s="372" t="e">
        <f>IF(B6&lt;=1%,0%,IF(AND(B6&gt;=1%,B6&lt;=4%),1%,IF(AND(B6&gt;=4%,B6&lt;=6%),0.5%,IF(AND(B6&gt;=6%,B6&lt;=8%),0.5%,IF(AND(B6&gt;=8%,B6&lt;=12%),1.5%,IF(AND(B6&gt;=12%,B6&lt;=15%),2%,"Ошибка"))))))+Q24</f>
        <v>#VALUE!</v>
      </c>
      <c r="M24" s="372" t="e">
        <f>IF(#REF!&lt;=1%,0%,IF(AND(#REF!&gt;=1%,#REF!&lt;=4%),1%,IF(AND(#REF!&gt;=4%,#REF!&lt;=6%),0.5%,IF(AND(#REF!&gt;=6%,#REF!&lt;=8%),0.5%,IF(AND(#REF!&gt;=8%,#REF!&lt;=12%),1.5%,IF(AND(#REF!&gt;=12%,#REF!&lt;=15%),2%,"Ошибка"))))))+R24</f>
        <v>#REF!</v>
      </c>
      <c r="N24" s="372" t="e">
        <f t="shared" si="2"/>
        <v>#VALUE!</v>
      </c>
      <c r="Q24" s="372">
        <f t="shared" si="4"/>
        <v>0</v>
      </c>
      <c r="R24" s="372">
        <f t="shared" si="5"/>
        <v>0</v>
      </c>
      <c r="S24" s="372">
        <f t="shared" si="5"/>
        <v>0</v>
      </c>
    </row>
    <row r="25" spans="1:20">
      <c r="A25" s="327" t="str">
        <f t="shared" si="3"/>
        <v>Альфа банк (комбо)</v>
      </c>
      <c r="B25" s="329"/>
      <c r="C25" s="329"/>
      <c r="D25" s="329"/>
      <c r="L25" s="372"/>
      <c r="M25" s="372"/>
      <c r="N25" s="372"/>
      <c r="Q25" s="372">
        <f t="shared" si="4"/>
        <v>0</v>
      </c>
      <c r="R25" s="372">
        <f t="shared" si="5"/>
        <v>0</v>
      </c>
      <c r="S25" s="372">
        <f t="shared" si="5"/>
        <v>0</v>
      </c>
    </row>
    <row r="30" spans="1:20">
      <c r="A30" s="327" t="s">
        <v>285</v>
      </c>
      <c r="B30" s="546" t="s">
        <v>286</v>
      </c>
      <c r="C30" s="546"/>
      <c r="D30" s="546"/>
    </row>
    <row r="31" spans="1:20">
      <c r="A31" s="327"/>
      <c r="B31" s="546"/>
      <c r="C31" s="546"/>
      <c r="D31" s="546"/>
    </row>
    <row r="34" spans="1:4">
      <c r="A34" s="327"/>
      <c r="B34" s="547" t="s">
        <v>288</v>
      </c>
      <c r="C34" s="547"/>
      <c r="D34" s="547"/>
    </row>
    <row r="35" spans="1:4">
      <c r="A35" s="397"/>
      <c r="B35" s="398" t="s">
        <v>156</v>
      </c>
      <c r="C35" s="398" t="s">
        <v>251</v>
      </c>
      <c r="D35" s="398"/>
    </row>
    <row r="36" spans="1:4" ht="72.75">
      <c r="A36" s="399">
        <f>A28</f>
        <v>0</v>
      </c>
      <c r="B36" s="400" t="s">
        <v>289</v>
      </c>
      <c r="C36" s="400" t="s">
        <v>290</v>
      </c>
      <c r="D36" s="401"/>
    </row>
    <row r="37" spans="1:4" ht="60.75">
      <c r="A37" s="399" t="s">
        <v>250</v>
      </c>
      <c r="B37" s="400" t="s">
        <v>291</v>
      </c>
      <c r="C37" s="401"/>
      <c r="D37" s="401"/>
    </row>
    <row r="38" spans="1:4">
      <c r="A38" s="399" t="s">
        <v>255</v>
      </c>
      <c r="B38" s="401" t="s">
        <v>256</v>
      </c>
      <c r="C38" s="401" t="s">
        <v>256</v>
      </c>
      <c r="D38" s="401"/>
    </row>
    <row r="39" spans="1:4">
      <c r="A39" s="327" t="s">
        <v>287</v>
      </c>
      <c r="B39" s="3" t="s">
        <v>256</v>
      </c>
      <c r="C39" s="3" t="s">
        <v>256</v>
      </c>
    </row>
  </sheetData>
  <mergeCells count="8">
    <mergeCell ref="B1:D1"/>
    <mergeCell ref="B10:D10"/>
    <mergeCell ref="B19:D19"/>
    <mergeCell ref="L19:O19"/>
    <mergeCell ref="Q19:T19"/>
    <mergeCell ref="B30:D30"/>
    <mergeCell ref="B31:D31"/>
    <mergeCell ref="B34:D3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646E2-CDB2-405A-87A0-54E049532645}">
  <dimension ref="A1:O34"/>
  <sheetViews>
    <sheetView workbookViewId="0">
      <selection activeCell="F15" sqref="F15"/>
    </sheetView>
  </sheetViews>
  <sheetFormatPr defaultRowHeight="15"/>
  <cols>
    <col min="1" max="1" width="24.42578125" customWidth="1"/>
    <col min="2" max="2" width="15.5703125" customWidth="1"/>
    <col min="3" max="3" width="16.42578125" customWidth="1"/>
    <col min="4" max="4" width="18" customWidth="1"/>
    <col min="12" max="12" width="17" customWidth="1"/>
    <col min="13" max="13" width="17.42578125" hidden="1" customWidth="1"/>
    <col min="14" max="14" width="17.42578125" customWidth="1"/>
    <col min="15" max="15" width="18.5703125" customWidth="1"/>
  </cols>
  <sheetData>
    <row r="1" spans="1:15">
      <c r="A1" s="327"/>
      <c r="B1" s="549" t="s">
        <v>253</v>
      </c>
      <c r="C1" s="549"/>
      <c r="D1" s="549"/>
    </row>
    <row r="2" spans="1:15">
      <c r="A2" s="402"/>
      <c r="B2" s="403" t="s">
        <v>156</v>
      </c>
      <c r="C2" s="403" t="s">
        <v>251</v>
      </c>
      <c r="D2" s="403" t="s">
        <v>133</v>
      </c>
    </row>
    <row r="3" spans="1:15">
      <c r="A3" s="414" t="s">
        <v>249</v>
      </c>
      <c r="B3" s="509">
        <v>4.99E-2</v>
      </c>
      <c r="C3" s="405">
        <v>0.15129999999999999</v>
      </c>
      <c r="D3" s="405"/>
    </row>
    <row r="4" spans="1:15">
      <c r="A4" s="414" t="s">
        <v>374</v>
      </c>
      <c r="B4" s="405">
        <v>7.2999999999999995E-2</v>
      </c>
      <c r="C4" s="472">
        <v>7.2999999999999995E-2</v>
      </c>
      <c r="D4" s="405"/>
    </row>
    <row r="5" spans="1:15">
      <c r="A5" s="414" t="s">
        <v>255</v>
      </c>
      <c r="B5" s="405">
        <v>0.10199999999999999</v>
      </c>
      <c r="C5" s="405">
        <v>0</v>
      </c>
      <c r="D5" s="405"/>
    </row>
    <row r="6" spans="1:15">
      <c r="A6" s="414" t="s">
        <v>389</v>
      </c>
      <c r="B6" s="405">
        <v>5.8999999999999997E-2</v>
      </c>
      <c r="C6" s="405">
        <v>5.8999999999999997E-2</v>
      </c>
      <c r="D6" s="405"/>
    </row>
    <row r="7" spans="1:15">
      <c r="A7" s="407" t="s">
        <v>390</v>
      </c>
      <c r="B7" s="405">
        <v>9.5000000000000001E-2</v>
      </c>
      <c r="C7" s="509">
        <v>0.18</v>
      </c>
      <c r="D7" s="405"/>
    </row>
    <row r="8" spans="1:15">
      <c r="A8" s="483" t="s">
        <v>380</v>
      </c>
      <c r="B8" s="405">
        <v>0.1</v>
      </c>
      <c r="C8" s="405">
        <v>0</v>
      </c>
      <c r="D8" s="484"/>
    </row>
    <row r="9" spans="1:15">
      <c r="A9" s="520" t="s">
        <v>397</v>
      </c>
      <c r="B9" s="521">
        <v>5.8999999999999997E-2</v>
      </c>
      <c r="C9" s="521">
        <v>0</v>
      </c>
      <c r="D9" s="521"/>
    </row>
    <row r="10" spans="1:15">
      <c r="A10" s="414" t="s">
        <v>302</v>
      </c>
      <c r="B10" s="405">
        <v>0</v>
      </c>
      <c r="C10" s="405">
        <v>0</v>
      </c>
      <c r="D10" s="405"/>
    </row>
    <row r="12" spans="1:15">
      <c r="A12" s="327"/>
      <c r="B12" s="547" t="s">
        <v>277</v>
      </c>
      <c r="C12" s="547"/>
      <c r="D12" s="547"/>
      <c r="L12" s="545" t="s">
        <v>266</v>
      </c>
      <c r="M12" s="545"/>
      <c r="N12" s="545"/>
      <c r="O12" s="545"/>
    </row>
    <row r="13" spans="1:15">
      <c r="A13" s="402"/>
      <c r="B13" s="403" t="s">
        <v>156</v>
      </c>
      <c r="C13" s="403" t="s">
        <v>251</v>
      </c>
      <c r="D13" s="403" t="s">
        <v>133</v>
      </c>
      <c r="L13" s="328" t="s">
        <v>156</v>
      </c>
      <c r="M13" s="328" t="s">
        <v>252</v>
      </c>
      <c r="N13" s="328" t="s">
        <v>251</v>
      </c>
      <c r="O13" s="328" t="s">
        <v>133</v>
      </c>
    </row>
    <row r="14" spans="1:15">
      <c r="A14" s="407" t="str">
        <f>A3</f>
        <v>Альфа банк</v>
      </c>
      <c r="B14" s="405">
        <f>B3+L14</f>
        <v>4.99E-2</v>
      </c>
      <c r="C14" s="405">
        <f>C3+N14</f>
        <v>0.15129999999999999</v>
      </c>
      <c r="D14" s="404">
        <f t="shared" ref="C14:D19" si="0">D3+O14</f>
        <v>0</v>
      </c>
      <c r="L14" s="372">
        <v>0</v>
      </c>
      <c r="M14" s="372" t="e">
        <v>#REF!</v>
      </c>
      <c r="N14" s="372">
        <v>0</v>
      </c>
      <c r="O14" s="372"/>
    </row>
    <row r="15" spans="1:15">
      <c r="A15" s="407" t="str">
        <f>A4</f>
        <v>Дом.РФ</v>
      </c>
      <c r="B15" s="405">
        <f t="shared" ref="B15:B19" si="1">B4+L15</f>
        <v>7.2999999999999995E-2</v>
      </c>
      <c r="C15" s="405">
        <f t="shared" si="0"/>
        <v>7.2999999999999995E-2</v>
      </c>
      <c r="D15" s="404">
        <f t="shared" si="0"/>
        <v>0</v>
      </c>
      <c r="L15" s="372">
        <v>0</v>
      </c>
      <c r="M15" s="372" t="e">
        <v>#REF!</v>
      </c>
      <c r="N15" s="372">
        <v>0</v>
      </c>
      <c r="O15" s="372"/>
    </row>
    <row r="16" spans="1:15">
      <c r="A16" s="407" t="str">
        <f>A5</f>
        <v>Абсолют</v>
      </c>
      <c r="B16" s="405">
        <f t="shared" si="1"/>
        <v>0.10199999999999999</v>
      </c>
      <c r="C16" s="405">
        <f t="shared" si="0"/>
        <v>0</v>
      </c>
      <c r="D16" s="404">
        <f t="shared" si="0"/>
        <v>0</v>
      </c>
      <c r="L16" s="372">
        <v>0</v>
      </c>
      <c r="M16" s="372" t="e">
        <v>#REF!</v>
      </c>
      <c r="N16" s="372">
        <v>0</v>
      </c>
      <c r="O16" s="372"/>
    </row>
    <row r="17" spans="1:15">
      <c r="A17" s="414" t="s">
        <v>389</v>
      </c>
      <c r="B17" s="405">
        <f t="shared" si="1"/>
        <v>5.8999999999999997E-2</v>
      </c>
      <c r="C17" s="405">
        <f t="shared" si="0"/>
        <v>5.8999999999999997E-2</v>
      </c>
      <c r="D17" s="404">
        <f t="shared" si="0"/>
        <v>0</v>
      </c>
      <c r="L17" s="372">
        <v>0</v>
      </c>
      <c r="M17" s="372" t="e">
        <v>#REF!</v>
      </c>
      <c r="N17" s="372">
        <v>0</v>
      </c>
      <c r="O17" s="372"/>
    </row>
    <row r="18" spans="1:15">
      <c r="A18" s="407" t="s">
        <v>390</v>
      </c>
      <c r="B18" s="405">
        <f t="shared" si="1"/>
        <v>9.5000000000000001E-2</v>
      </c>
      <c r="C18" s="405">
        <f>C7+N18</f>
        <v>0.184</v>
      </c>
      <c r="D18" s="404">
        <f t="shared" si="0"/>
        <v>0</v>
      </c>
      <c r="L18" s="372">
        <v>0</v>
      </c>
      <c r="M18" s="372" t="e">
        <v>#REF!</v>
      </c>
      <c r="N18" s="372">
        <v>4.0000000000000001E-3</v>
      </c>
      <c r="O18" s="372"/>
    </row>
    <row r="19" spans="1:15">
      <c r="A19" s="483" t="s">
        <v>380</v>
      </c>
      <c r="B19" s="405">
        <f t="shared" si="1"/>
        <v>0.1</v>
      </c>
      <c r="C19" s="405">
        <f t="shared" si="0"/>
        <v>0</v>
      </c>
      <c r="D19" s="484">
        <f t="shared" si="0"/>
        <v>0</v>
      </c>
      <c r="L19" s="372">
        <v>0</v>
      </c>
      <c r="M19" s="372" t="e">
        <v>#REF!</v>
      </c>
      <c r="N19" s="372">
        <v>0</v>
      </c>
      <c r="O19" s="372"/>
    </row>
    <row r="20" spans="1:15">
      <c r="A20" s="520" t="s">
        <v>397</v>
      </c>
      <c r="B20" s="521">
        <f t="shared" ref="B20" si="2">B9+L20</f>
        <v>5.8999999999999997E-2</v>
      </c>
      <c r="C20" s="521">
        <f t="shared" ref="C20" si="3">C9+N20</f>
        <v>0</v>
      </c>
      <c r="D20" s="521">
        <f t="shared" ref="D20" si="4">D9+O20</f>
        <v>0</v>
      </c>
      <c r="L20" s="519">
        <v>0</v>
      </c>
      <c r="M20" s="519"/>
      <c r="N20" s="519">
        <v>0</v>
      </c>
      <c r="O20" s="519"/>
    </row>
    <row r="21" spans="1:15">
      <c r="A21" s="414" t="s">
        <v>302</v>
      </c>
      <c r="B21" s="404">
        <f>B10+L21</f>
        <v>0</v>
      </c>
      <c r="C21" s="404">
        <f>C10+N21</f>
        <v>0</v>
      </c>
      <c r="D21" s="404">
        <f>D10+O21</f>
        <v>0</v>
      </c>
      <c r="L21" s="372">
        <v>0</v>
      </c>
      <c r="M21" s="372" t="e">
        <v>#REF!</v>
      </c>
      <c r="N21" s="372">
        <v>0</v>
      </c>
      <c r="O21" s="372"/>
    </row>
    <row r="25" spans="1:15">
      <c r="A25" s="327"/>
      <c r="B25" s="548" t="s">
        <v>254</v>
      </c>
      <c r="C25" s="548"/>
      <c r="D25" s="548"/>
    </row>
    <row r="26" spans="1:15">
      <c r="A26" s="402"/>
      <c r="B26" s="403" t="s">
        <v>156</v>
      </c>
      <c r="C26" s="403" t="s">
        <v>251</v>
      </c>
      <c r="D26" s="403" t="s">
        <v>133</v>
      </c>
    </row>
    <row r="27" spans="1:15">
      <c r="A27" s="406" t="str">
        <f>A3</f>
        <v>Альфа банк</v>
      </c>
      <c r="B27" s="405">
        <v>5.9900000000000002E-2</v>
      </c>
      <c r="C27" s="405">
        <v>5.9900000000000002E-2</v>
      </c>
      <c r="D27" s="405"/>
    </row>
    <row r="28" spans="1:15">
      <c r="A28" s="406" t="str">
        <f>A4</f>
        <v>Дом.РФ</v>
      </c>
      <c r="B28" s="405">
        <v>5.9900000000000002E-2</v>
      </c>
      <c r="C28" s="405">
        <v>5.9900000000000002E-2</v>
      </c>
      <c r="D28" s="405"/>
    </row>
    <row r="29" spans="1:15">
      <c r="A29" s="406" t="str">
        <f>A5</f>
        <v>Абсолют</v>
      </c>
      <c r="B29" s="405">
        <v>5.9900000000000002E-2</v>
      </c>
      <c r="C29" s="405" t="s">
        <v>256</v>
      </c>
      <c r="D29" s="405"/>
    </row>
    <row r="30" spans="1:15">
      <c r="A30" s="414" t="s">
        <v>389</v>
      </c>
      <c r="B30" s="405">
        <v>5.9900000000000002E-2</v>
      </c>
      <c r="C30" s="405">
        <v>5.9900000000000002E-2</v>
      </c>
      <c r="D30" s="405"/>
    </row>
    <row r="31" spans="1:15">
      <c r="A31" s="407" t="s">
        <v>390</v>
      </c>
      <c r="B31" s="405">
        <v>5.9900000000000002E-2</v>
      </c>
      <c r="C31" s="405">
        <v>5.9900000000000002E-2</v>
      </c>
      <c r="D31" s="405"/>
    </row>
    <row r="32" spans="1:15">
      <c r="A32" s="483" t="s">
        <v>380</v>
      </c>
      <c r="B32" s="405">
        <v>5.8999999999999997E-2</v>
      </c>
      <c r="C32" s="405" t="s">
        <v>256</v>
      </c>
      <c r="D32" s="484"/>
    </row>
    <row r="33" spans="1:4">
      <c r="A33" s="520" t="s">
        <v>397</v>
      </c>
      <c r="B33" s="521">
        <v>5.9900000000000002E-2</v>
      </c>
      <c r="C33" s="521" t="s">
        <v>256</v>
      </c>
      <c r="D33" s="521"/>
    </row>
    <row r="34" spans="1:4">
      <c r="A34" s="414" t="s">
        <v>302</v>
      </c>
      <c r="B34" s="405">
        <v>0</v>
      </c>
      <c r="C34" s="405">
        <v>0</v>
      </c>
      <c r="D34" s="405"/>
    </row>
  </sheetData>
  <mergeCells count="4">
    <mergeCell ref="B12:D12"/>
    <mergeCell ref="B25:D25"/>
    <mergeCell ref="L12:O12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AE02-5CD6-46A8-87EF-8ED21DF94AC1}">
  <dimension ref="A1:AA69"/>
  <sheetViews>
    <sheetView zoomScale="85" zoomScaleNormal="85" workbookViewId="0">
      <selection activeCell="F14" sqref="F14"/>
    </sheetView>
  </sheetViews>
  <sheetFormatPr defaultRowHeight="15" outlineLevelRow="1" outlineLevelCol="1"/>
  <cols>
    <col min="1" max="1" width="11" style="54" customWidth="1"/>
    <col min="2" max="2" width="8.42578125" style="54" customWidth="1" outlineLevel="1"/>
    <col min="3" max="3" width="54" style="54" customWidth="1" outlineLevel="1"/>
    <col min="4" max="4" width="35.42578125" customWidth="1" outlineLevel="1"/>
    <col min="5" max="5" width="24.42578125" style="54" customWidth="1" outlineLevel="1"/>
    <col min="6" max="6" width="38.5703125" style="54" customWidth="1" outlineLevel="1"/>
    <col min="7" max="7" width="16.42578125" style="35" customWidth="1"/>
    <col min="8" max="8" width="23.5703125" customWidth="1"/>
    <col min="9" max="9" width="55.42578125" customWidth="1"/>
    <col min="10" max="27" width="23.5703125" customWidth="1"/>
  </cols>
  <sheetData>
    <row r="1" spans="1:27">
      <c r="A1" s="45"/>
      <c r="B1" s="45"/>
      <c r="C1" s="76"/>
      <c r="D1" s="76"/>
      <c r="E1" s="76"/>
      <c r="F1" s="45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51.75" customHeight="1" thickBot="1">
      <c r="A2" s="45"/>
      <c r="B2" s="121"/>
      <c r="C2" s="524" t="s">
        <v>121</v>
      </c>
      <c r="D2" s="524"/>
      <c r="E2" s="524"/>
      <c r="F2" s="45"/>
      <c r="G2" s="28"/>
      <c r="H2" s="529" t="s">
        <v>117</v>
      </c>
      <c r="I2" s="529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 ht="13.5" customHeight="1">
      <c r="A3" s="45"/>
      <c r="B3" s="121"/>
      <c r="C3" s="160"/>
      <c r="D3" s="161"/>
      <c r="E3" s="147"/>
      <c r="F3" s="45"/>
      <c r="G3" s="28"/>
      <c r="H3" s="158"/>
      <c r="I3" s="15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>
      <c r="A4" s="45"/>
      <c r="B4" s="45"/>
      <c r="C4" s="162" t="s">
        <v>13</v>
      </c>
      <c r="D4" s="163">
        <v>0.1</v>
      </c>
      <c r="E4" s="159" t="s">
        <v>72</v>
      </c>
      <c r="F4" s="45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>
      <c r="A5" s="45"/>
      <c r="B5" s="45"/>
      <c r="C5" s="57" t="s">
        <v>11</v>
      </c>
      <c r="D5" s="164">
        <v>10000000</v>
      </c>
      <c r="E5" s="550"/>
      <c r="F5" s="550"/>
      <c r="G5" s="12"/>
      <c r="H5" s="32">
        <f>H13/(100%-D4)</f>
        <v>13020833.333333332</v>
      </c>
      <c r="I5" s="12" t="s">
        <v>120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>
      <c r="A6" s="45"/>
      <c r="B6" s="45"/>
      <c r="C6" s="57" t="s">
        <v>12</v>
      </c>
      <c r="D6" s="164">
        <v>15000</v>
      </c>
      <c r="E6" s="550"/>
      <c r="F6" s="550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>
      <c r="A7" s="45"/>
      <c r="B7" s="45"/>
      <c r="C7" s="57" t="s">
        <v>43</v>
      </c>
      <c r="D7" s="165">
        <v>0.2</v>
      </c>
      <c r="E7" s="45"/>
      <c r="F7" s="4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>
      <c r="A8" s="45"/>
      <c r="B8" s="45"/>
      <c r="C8" s="57" t="s">
        <v>15</v>
      </c>
      <c r="D8" s="166">
        <v>360</v>
      </c>
      <c r="E8" s="77"/>
      <c r="F8" s="77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>
      <c r="A9" s="45"/>
      <c r="B9" s="45"/>
      <c r="C9" s="57" t="s">
        <v>153</v>
      </c>
      <c r="D9" s="245" t="s">
        <v>156</v>
      </c>
      <c r="E9" s="77"/>
      <c r="F9" s="7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>
      <c r="A10" s="45"/>
      <c r="B10" s="46"/>
      <c r="C10" s="57" t="s">
        <v>19</v>
      </c>
      <c r="D10" s="246">
        <v>6.7000000000000004E-2</v>
      </c>
      <c r="E10" s="45"/>
      <c r="F10" s="45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0.5" customHeight="1" thickBot="1">
      <c r="A11" s="45"/>
      <c r="B11" s="46"/>
      <c r="C11" s="167"/>
      <c r="D11" s="168"/>
      <c r="E11" s="45"/>
      <c r="F11" s="45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>
      <c r="A12" s="45"/>
      <c r="B12" s="46"/>
      <c r="C12" s="46"/>
      <c r="D12" s="82"/>
      <c r="E12" s="45"/>
      <c r="F12" s="45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55" customFormat="1" ht="21" customHeight="1">
      <c r="A13" s="120"/>
      <c r="B13" s="49"/>
      <c r="C13" s="150" t="s">
        <v>114</v>
      </c>
      <c r="D13" s="154">
        <f>D5*(100%-D4)</f>
        <v>9000000</v>
      </c>
      <c r="E13" s="151"/>
      <c r="F13" s="152"/>
      <c r="G13" s="30"/>
      <c r="H13" s="153">
        <f>(12000000/(100%-D7))/(100%+D19)</f>
        <v>11718750</v>
      </c>
      <c r="I13" s="44" t="s">
        <v>115</v>
      </c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</row>
    <row r="14" spans="1:27" s="157" customFormat="1" ht="36.75" customHeight="1">
      <c r="A14" s="45"/>
      <c r="B14" s="46"/>
      <c r="C14" s="46"/>
      <c r="D14" s="156"/>
      <c r="E14" s="151"/>
      <c r="F14" s="152"/>
      <c r="G14" s="12"/>
      <c r="H14" s="153">
        <f>(18000000/(100%-D7)/(100%+D19))</f>
        <v>17578125</v>
      </c>
      <c r="I14" s="28" t="s">
        <v>116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 hidden="1">
      <c r="A15" s="45"/>
      <c r="B15" s="46"/>
      <c r="C15" s="46"/>
      <c r="D15" s="82"/>
      <c r="E15" s="45"/>
      <c r="F15" s="45"/>
      <c r="G15" s="1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7" hidden="1">
      <c r="A16" s="45"/>
      <c r="B16" s="46"/>
      <c r="C16" s="46"/>
      <c r="D16" s="82"/>
      <c r="E16" s="45"/>
      <c r="F16" s="45"/>
      <c r="G16" s="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1:27">
      <c r="A17" s="45"/>
      <c r="B17" s="46"/>
      <c r="C17" s="250" t="s">
        <v>51</v>
      </c>
      <c r="D17" s="251">
        <f>D5*(100%-D4)*(100%-D7)</f>
        <v>7200000</v>
      </c>
      <c r="E17" s="47"/>
      <c r="F17" s="47"/>
      <c r="G17" s="12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>
      <c r="A18" s="45"/>
      <c r="B18" s="46"/>
      <c r="C18" s="250" t="s">
        <v>52</v>
      </c>
      <c r="D18" s="252">
        <f>PMT(D10/12,D8,-D17)</f>
        <v>46460.01441888704</v>
      </c>
      <c r="E18" s="45"/>
      <c r="F18" s="45"/>
      <c r="G18" s="1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ht="15" customHeight="1" outlineLevel="1">
      <c r="A19" s="45"/>
      <c r="B19" s="46"/>
      <c r="C19" s="250" t="s">
        <v>32</v>
      </c>
      <c r="D19" s="253">
        <v>0.28000000000000003</v>
      </c>
      <c r="E19" s="93"/>
      <c r="F19" s="45"/>
      <c r="G19" s="12"/>
      <c r="H19" s="531" t="s">
        <v>119</v>
      </c>
      <c r="I19" s="531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outlineLevel="1">
      <c r="A20" s="45"/>
      <c r="B20" s="46"/>
      <c r="C20" s="250" t="s">
        <v>64</v>
      </c>
      <c r="D20" s="254">
        <f>D13*D19</f>
        <v>2520000.0000000005</v>
      </c>
      <c r="E20" s="45"/>
      <c r="F20" s="45"/>
      <c r="G20" s="12"/>
      <c r="H20" s="531"/>
      <c r="I20" s="531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>
      <c r="A21" s="45"/>
      <c r="B21" s="46"/>
      <c r="C21" s="250"/>
      <c r="D21" s="250"/>
      <c r="E21" s="45"/>
      <c r="F21" s="45"/>
      <c r="G21" s="12"/>
      <c r="H21" s="12"/>
      <c r="I21" s="12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>
      <c r="A22" s="45"/>
      <c r="B22" s="46"/>
      <c r="C22" s="255" t="s">
        <v>158</v>
      </c>
      <c r="D22" s="256">
        <f>D13+D20-D6</f>
        <v>11505000</v>
      </c>
      <c r="E22" s="248"/>
      <c r="F22" s="45"/>
      <c r="G22" s="12"/>
      <c r="H22" s="249"/>
      <c r="I22" s="12" t="s">
        <v>157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1:27" s="105" customFormat="1" ht="27" customHeight="1">
      <c r="A23" s="120"/>
      <c r="B23" s="49"/>
      <c r="C23" s="255" t="s">
        <v>30</v>
      </c>
      <c r="D23" s="257">
        <f>D22*(100%-D7)</f>
        <v>9204000</v>
      </c>
      <c r="E23" s="550" t="str">
        <f>IF(D23&lt;12000000,"","Сумма кредита превышает мах.сумму в рамках ГП, за искл. ИТ ипотеки")</f>
        <v/>
      </c>
      <c r="F23" s="550"/>
      <c r="G23" s="30"/>
      <c r="H23" s="531"/>
      <c r="I23" s="531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</row>
    <row r="24" spans="1:27">
      <c r="A24" s="45"/>
      <c r="B24" s="46"/>
      <c r="C24" s="255" t="s">
        <v>45</v>
      </c>
      <c r="D24" s="257">
        <f>D22-D23</f>
        <v>2301000</v>
      </c>
      <c r="E24" s="45"/>
      <c r="F24" s="45"/>
      <c r="G24" s="12"/>
      <c r="H24" s="531"/>
      <c r="I24" s="531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27">
      <c r="A25" s="45"/>
      <c r="B25" s="46"/>
      <c r="C25" s="255" t="s">
        <v>46</v>
      </c>
      <c r="D25" s="258">
        <f>D24/D22</f>
        <v>0.2</v>
      </c>
      <c r="E25" s="45"/>
      <c r="F25" s="45"/>
      <c r="G25" s="12"/>
      <c r="H25" s="249"/>
      <c r="I25" s="24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1:27">
      <c r="A26" s="45"/>
      <c r="B26" s="46"/>
      <c r="C26" s="255" t="s">
        <v>22</v>
      </c>
      <c r="D26" s="259">
        <f>PMT(D10/12,D8,-D23)</f>
        <v>59391.385098810591</v>
      </c>
      <c r="E26" s="45"/>
      <c r="F26" s="45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1:27">
      <c r="A27" s="45"/>
      <c r="B27" s="46"/>
      <c r="C27" s="255" t="s">
        <v>57</v>
      </c>
      <c r="D27" s="260">
        <f>D22*D7</f>
        <v>2301000</v>
      </c>
      <c r="E27" s="45"/>
      <c r="F27" s="45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1:27">
      <c r="A28" s="45"/>
      <c r="B28" s="46"/>
      <c r="C28" s="250"/>
      <c r="D28" s="261"/>
      <c r="E28" s="45"/>
      <c r="F28" s="45"/>
      <c r="G28" s="1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1:27">
      <c r="A29" s="45"/>
      <c r="B29" s="46"/>
      <c r="C29" s="527" t="s">
        <v>41</v>
      </c>
      <c r="D29" s="527"/>
      <c r="E29" s="45"/>
      <c r="F29" s="45"/>
      <c r="G29" s="1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1:27" ht="28.5" customHeight="1">
      <c r="A30" s="45"/>
      <c r="B30" s="46"/>
      <c r="C30" s="250" t="s">
        <v>42</v>
      </c>
      <c r="D30" s="262">
        <f>D26-D18</f>
        <v>12931.370679923552</v>
      </c>
      <c r="E30" s="45"/>
      <c r="F30" s="45"/>
      <c r="G30" s="1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27">
      <c r="A31" s="45"/>
      <c r="B31" s="46"/>
      <c r="C31" s="250"/>
      <c r="D31" s="250"/>
      <c r="E31" s="45"/>
      <c r="F31" s="45"/>
      <c r="G31" s="1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1:27" outlineLevel="1">
      <c r="A32" s="45"/>
      <c r="B32" s="46"/>
      <c r="C32" s="250" t="s">
        <v>29</v>
      </c>
      <c r="D32" s="253">
        <f>(D23-D27)/D5-100%</f>
        <v>-0.30969999999999998</v>
      </c>
      <c r="E32" s="45"/>
      <c r="F32" s="45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1:27" outlineLevel="1">
      <c r="A33" s="45"/>
      <c r="B33" s="46"/>
      <c r="C33" s="250" t="s">
        <v>28</v>
      </c>
      <c r="D33" s="254">
        <f>D22-D5</f>
        <v>1505000</v>
      </c>
      <c r="E33" s="45"/>
      <c r="F33" s="45"/>
      <c r="G33" s="1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1:27" outlineLevel="1">
      <c r="A34" s="45"/>
      <c r="B34" s="45"/>
      <c r="C34" s="250" t="s">
        <v>31</v>
      </c>
      <c r="D34" s="253">
        <f>D33/D5*(-1)</f>
        <v>-0.15049999999999999</v>
      </c>
      <c r="E34" s="45"/>
      <c r="F34" s="45"/>
      <c r="G34" s="1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1:27" outlineLevel="1">
      <c r="A35" s="45"/>
      <c r="B35" s="45"/>
      <c r="C35" s="250" t="s">
        <v>118</v>
      </c>
      <c r="D35" s="263">
        <f>D20-D27</f>
        <v>219000.00000000047</v>
      </c>
      <c r="E35" s="45"/>
      <c r="F35" s="45"/>
      <c r="G35" s="1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1:27" ht="27" customHeight="1">
      <c r="A36" s="45"/>
      <c r="B36" s="45"/>
      <c r="C36" s="261"/>
      <c r="D36" s="261"/>
      <c r="E36" s="45"/>
      <c r="F36" s="45"/>
      <c r="G36" s="1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1:27">
      <c r="A37" s="45"/>
      <c r="B37" s="45"/>
      <c r="C37" s="45"/>
      <c r="D37" s="45"/>
      <c r="E37" s="45"/>
      <c r="F37" s="45"/>
      <c r="G37" s="1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27">
      <c r="A38" s="45"/>
      <c r="B38" s="45"/>
      <c r="C38" s="45"/>
      <c r="D38" s="45"/>
      <c r="E38" s="45"/>
      <c r="F38" s="45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>
      <c r="A39" s="45"/>
      <c r="B39" s="45"/>
      <c r="C39" s="45"/>
      <c r="D39" s="45"/>
      <c r="E39" s="45"/>
      <c r="F39" s="45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>
      <c r="A40" s="45"/>
      <c r="B40" s="53"/>
      <c r="C40" s="53"/>
      <c r="D40" s="53"/>
      <c r="E40" s="53"/>
      <c r="F40" s="53"/>
      <c r="G40" s="83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>
      <c r="A41" s="45"/>
      <c r="B41" s="53"/>
      <c r="C41" s="53"/>
      <c r="D41" s="53"/>
      <c r="E41" s="53"/>
      <c r="F41" s="53"/>
      <c r="G41" s="83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</row>
    <row r="42" spans="1:27">
      <c r="A42" s="45"/>
      <c r="B42" s="45"/>
      <c r="C42" s="45"/>
      <c r="D42" s="45"/>
      <c r="E42" s="45"/>
      <c r="F42" s="45"/>
      <c r="G42" s="12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</row>
    <row r="43" spans="1:27">
      <c r="A43" s="45"/>
      <c r="B43" s="45"/>
      <c r="C43" s="45"/>
      <c r="D43" s="45"/>
      <c r="E43" s="45"/>
      <c r="F43" s="45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>
      <c r="A44" s="45"/>
      <c r="B44" s="45"/>
      <c r="C44" s="45"/>
      <c r="D44" s="45"/>
      <c r="E44" s="45"/>
      <c r="F44" s="45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>
      <c r="A45" s="45"/>
      <c r="B45" s="45"/>
      <c r="C45" s="45"/>
      <c r="D45" s="45"/>
      <c r="E45" s="45"/>
      <c r="F45" s="45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>
      <c r="A46" s="45"/>
      <c r="B46" s="45"/>
      <c r="C46" s="45"/>
      <c r="D46" s="45"/>
      <c r="E46" s="45"/>
      <c r="F46" s="45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>
      <c r="A47" s="45"/>
      <c r="B47" s="45"/>
      <c r="C47" s="45"/>
      <c r="D47" s="45"/>
      <c r="E47" s="45"/>
      <c r="F47" s="45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>
      <c r="A48" s="45"/>
      <c r="B48" s="45"/>
      <c r="C48" s="45"/>
      <c r="D48" s="45"/>
      <c r="E48" s="45"/>
      <c r="F48" s="45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>
      <c r="A49" s="45"/>
      <c r="B49" s="45"/>
      <c r="C49" s="45"/>
      <c r="D49" s="45"/>
      <c r="E49" s="45"/>
      <c r="F49" s="45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>
      <c r="A50" s="45"/>
      <c r="B50" s="45"/>
      <c r="C50" s="45"/>
      <c r="D50" s="45"/>
      <c r="E50" s="45"/>
      <c r="F50" s="45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>
      <c r="A51" s="45"/>
      <c r="B51" s="45"/>
      <c r="C51" s="45"/>
      <c r="D51" s="45"/>
      <c r="E51" s="45"/>
      <c r="F51" s="45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>
      <c r="A52" s="45"/>
      <c r="B52" s="45"/>
      <c r="C52" s="45"/>
      <c r="D52" s="45"/>
      <c r="E52" s="45"/>
      <c r="F52" s="45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>
      <c r="A53" s="45"/>
      <c r="B53" s="45"/>
      <c r="C53" s="45"/>
      <c r="D53" s="45"/>
      <c r="E53" s="45"/>
      <c r="F53" s="45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>
      <c r="A54" s="45"/>
      <c r="B54" s="45"/>
      <c r="C54" s="45"/>
      <c r="D54" s="45"/>
      <c r="E54" s="45"/>
      <c r="F54" s="45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>
      <c r="A55" s="45"/>
      <c r="B55" s="45"/>
      <c r="C55" s="45"/>
      <c r="D55" s="45"/>
      <c r="E55" s="45"/>
      <c r="F55" s="45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>
      <c r="A56" s="45"/>
      <c r="B56" s="45"/>
      <c r="C56" s="45"/>
      <c r="D56" s="45"/>
      <c r="E56" s="45"/>
      <c r="F56" s="45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>
      <c r="A57" s="45"/>
      <c r="B57" s="45"/>
      <c r="C57" s="45"/>
      <c r="D57" s="45"/>
      <c r="E57" s="45"/>
      <c r="F57" s="45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>
      <c r="A58" s="45"/>
      <c r="B58" s="45"/>
      <c r="C58" s="45"/>
      <c r="D58" s="45"/>
      <c r="E58" s="45"/>
      <c r="F58" s="45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>
      <c r="A59" s="45"/>
      <c r="B59" s="45"/>
      <c r="C59" s="45"/>
      <c r="D59" s="45"/>
      <c r="E59" s="45"/>
      <c r="F59" s="45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>
      <c r="A60" s="45"/>
      <c r="B60" s="45"/>
      <c r="C60" s="45"/>
      <c r="D60" s="45"/>
      <c r="E60" s="45"/>
      <c r="F60" s="45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>
      <c r="A61" s="45"/>
      <c r="B61" s="45"/>
      <c r="C61" s="45"/>
      <c r="D61" s="45"/>
      <c r="E61" s="45"/>
      <c r="F61" s="45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>
      <c r="A62" s="45"/>
      <c r="B62" s="45"/>
      <c r="C62" s="45"/>
      <c r="D62" s="45"/>
      <c r="E62" s="45"/>
      <c r="F62" s="45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>
      <c r="A63" s="45"/>
      <c r="B63" s="45"/>
      <c r="C63" s="45"/>
      <c r="D63" s="45"/>
      <c r="E63" s="45"/>
      <c r="F63" s="45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>
      <c r="A64" s="45"/>
      <c r="B64" s="45"/>
      <c r="C64" s="45"/>
      <c r="D64" s="45"/>
      <c r="E64" s="45"/>
      <c r="F64" s="45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>
      <c r="A65" s="45"/>
      <c r="B65" s="45"/>
      <c r="C65" s="45"/>
      <c r="D65" s="45"/>
      <c r="E65" s="45"/>
      <c r="F65" s="45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>
      <c r="A66" s="45"/>
      <c r="B66" s="45"/>
      <c r="C66" s="45"/>
      <c r="D66" s="45"/>
      <c r="E66" s="45"/>
      <c r="F66" s="45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>
      <c r="A67" s="45"/>
      <c r="B67" s="45"/>
      <c r="C67" s="45"/>
      <c r="D67" s="45"/>
      <c r="E67" s="45"/>
      <c r="F67" s="45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>
      <c r="A68" s="45"/>
      <c r="B68" s="45"/>
      <c r="C68" s="45"/>
      <c r="D68" s="45"/>
      <c r="E68" s="45"/>
      <c r="F68" s="45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</sheetData>
  <mergeCells count="8">
    <mergeCell ref="C2:E2"/>
    <mergeCell ref="C29:D29"/>
    <mergeCell ref="H2:I2"/>
    <mergeCell ref="E23:F23"/>
    <mergeCell ref="E6:F6"/>
    <mergeCell ref="E5:F5"/>
    <mergeCell ref="H23:I24"/>
    <mergeCell ref="H19:I20"/>
  </mergeCells>
  <conditionalFormatting sqref="D23">
    <cfRule type="cellIs" dxfId="2" priority="2" operator="greaterThan">
      <formula>12000000</formula>
    </cfRule>
  </conditionalFormatting>
  <conditionalFormatting sqref="E5:E6">
    <cfRule type="containsText" dxfId="1" priority="1" operator="containsText" text="Сумма кредита">
      <formula>NOT(ISERROR(SEARCH("Сумма кредита",E5)))</formula>
    </cfRule>
  </conditionalFormatting>
  <conditionalFormatting sqref="E23">
    <cfRule type="containsText" dxfId="0" priority="3" operator="containsText" text="Сумма кредита">
      <formula>NOT(ISERROR(SEARCH("Сумма кредита",E23)))</formula>
    </cfRule>
  </conditionalFormatting>
  <pageMargins left="0.7" right="0.7" top="0.75" bottom="0.75" header="0.3" footer="0.3"/>
  <pageSetup paperSize="9" scale="7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F7E98F-0099-41F1-A190-057092FBF5E8}">
          <x14:formula1>
            <xm:f>Справочник!$A$2:$A$5</xm:f>
          </x14:formula1>
          <xm:sqref>D9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A211E-11C9-41BB-BF71-166AB503B8AE}">
  <dimension ref="A2:A5"/>
  <sheetViews>
    <sheetView workbookViewId="0">
      <selection activeCell="E13" sqref="E13"/>
    </sheetView>
  </sheetViews>
  <sheetFormatPr defaultRowHeight="15"/>
  <cols>
    <col min="1" max="1" width="32.42578125" customWidth="1"/>
  </cols>
  <sheetData>
    <row r="2" spans="1:1">
      <c r="A2" s="244" t="s">
        <v>154</v>
      </c>
    </row>
    <row r="3" spans="1:1">
      <c r="A3" s="244" t="s">
        <v>155</v>
      </c>
    </row>
    <row r="4" spans="1:1">
      <c r="A4" s="244" t="s">
        <v>156</v>
      </c>
    </row>
    <row r="5" spans="1:1">
      <c r="A5" s="244" t="s">
        <v>133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744F2-EB10-414B-A5E0-692C3CE11D79}">
  <dimension ref="B1:M112"/>
  <sheetViews>
    <sheetView zoomScale="70" zoomScaleNormal="70" workbookViewId="0">
      <selection activeCell="J9" sqref="J9"/>
    </sheetView>
  </sheetViews>
  <sheetFormatPr defaultColWidth="9.42578125" defaultRowHeight="15"/>
  <cols>
    <col min="1" max="1" width="9.42578125" style="276"/>
    <col min="2" max="2" width="24.42578125" style="276" customWidth="1"/>
    <col min="3" max="3" width="31.5703125" style="276" customWidth="1"/>
    <col min="4" max="4" width="49.140625" style="276" customWidth="1"/>
    <col min="5" max="5" width="17.42578125" style="276" bestFit="1" customWidth="1"/>
    <col min="6" max="6" width="28.42578125" style="276" customWidth="1"/>
    <col min="7" max="7" width="19.5703125" style="276" customWidth="1"/>
    <col min="8" max="8" width="16" style="276" customWidth="1"/>
    <col min="9" max="9" width="16.42578125" style="276" customWidth="1"/>
    <col min="10" max="10" width="14.5703125" style="276" customWidth="1"/>
    <col min="11" max="11" width="18.5703125" style="276" customWidth="1"/>
    <col min="12" max="12" width="18.42578125" style="276" customWidth="1"/>
    <col min="13" max="13" width="63.42578125" style="297" customWidth="1"/>
    <col min="14" max="16" width="9.42578125" style="276"/>
    <col min="17" max="18" width="16.42578125" style="276" customWidth="1"/>
    <col min="19" max="19" width="38.42578125" style="276" customWidth="1"/>
    <col min="20" max="20" width="16.42578125" style="276" customWidth="1"/>
    <col min="21" max="21" width="14" style="276" customWidth="1"/>
    <col min="22" max="25" width="19.5703125" style="276" customWidth="1"/>
    <col min="26" max="16384" width="9.42578125" style="276"/>
  </cols>
  <sheetData>
    <row r="1" spans="2:13">
      <c r="D1" s="276">
        <v>1</v>
      </c>
      <c r="E1" s="276">
        <v>2</v>
      </c>
      <c r="F1" s="276">
        <v>3</v>
      </c>
      <c r="G1" s="276">
        <v>4</v>
      </c>
      <c r="H1" s="276">
        <v>5</v>
      </c>
      <c r="I1" s="276">
        <v>6</v>
      </c>
      <c r="J1" s="276">
        <v>7</v>
      </c>
    </row>
    <row r="3" spans="2:13">
      <c r="G3" s="319" t="s">
        <v>213</v>
      </c>
      <c r="H3" s="319"/>
      <c r="I3" s="319"/>
      <c r="J3" s="319"/>
    </row>
    <row r="4" spans="2:13">
      <c r="G4" s="424">
        <v>5.0999999999999997E-2</v>
      </c>
      <c r="H4" s="425">
        <v>0.10100000000000001</v>
      </c>
      <c r="I4" s="424">
        <v>0.151</v>
      </c>
      <c r="J4" s="424">
        <v>0.20100000000000001</v>
      </c>
    </row>
    <row r="5" spans="2:13" ht="45.75" customHeight="1" thickBot="1">
      <c r="B5" s="551" t="s">
        <v>280</v>
      </c>
      <c r="C5" s="552"/>
      <c r="D5" s="552"/>
      <c r="E5" s="552"/>
      <c r="F5" s="552"/>
      <c r="G5" s="552"/>
      <c r="H5" s="552"/>
      <c r="I5" s="552"/>
      <c r="J5" s="552"/>
      <c r="K5" s="552"/>
      <c r="L5" s="552"/>
    </row>
    <row r="6" spans="2:13" ht="30.75" thickBot="1">
      <c r="B6" s="300" t="s">
        <v>168</v>
      </c>
      <c r="C6" s="301" t="s">
        <v>169</v>
      </c>
      <c r="D6" s="301" t="s">
        <v>187</v>
      </c>
      <c r="E6" s="301" t="s">
        <v>170</v>
      </c>
      <c r="F6" s="301" t="s">
        <v>171</v>
      </c>
      <c r="G6" s="302" t="s">
        <v>172</v>
      </c>
      <c r="H6" s="302" t="s">
        <v>172</v>
      </c>
      <c r="I6" s="302" t="s">
        <v>172</v>
      </c>
      <c r="J6" s="303" t="s">
        <v>172</v>
      </c>
      <c r="K6" s="381" t="s">
        <v>193</v>
      </c>
      <c r="L6" s="382" t="s">
        <v>194</v>
      </c>
      <c r="M6" s="315" t="s">
        <v>208</v>
      </c>
    </row>
    <row r="7" spans="2:13" s="470" customFormat="1" ht="29.25" customHeight="1" thickBot="1">
      <c r="B7" s="306" t="s">
        <v>185</v>
      </c>
      <c r="C7" s="282" t="s">
        <v>263</v>
      </c>
      <c r="D7" s="282" t="s">
        <v>361</v>
      </c>
      <c r="E7" s="452">
        <v>46522</v>
      </c>
      <c r="F7" s="284"/>
      <c r="G7" s="285">
        <v>8.43E-2</v>
      </c>
      <c r="H7" s="285">
        <v>0.14849999999999999</v>
      </c>
      <c r="I7" s="285">
        <v>0.22839999999999999</v>
      </c>
      <c r="J7" s="285">
        <v>0.30669999999999997</v>
      </c>
      <c r="K7" s="378">
        <v>45581</v>
      </c>
      <c r="L7" s="317">
        <v>45789</v>
      </c>
      <c r="M7" s="469" t="s">
        <v>362</v>
      </c>
    </row>
    <row r="8" spans="2:13" ht="29.25" customHeight="1" thickBot="1">
      <c r="B8" s="304" t="s">
        <v>185</v>
      </c>
      <c r="C8" s="277" t="s">
        <v>196</v>
      </c>
      <c r="D8" s="277" t="s">
        <v>259</v>
      </c>
      <c r="E8" s="452">
        <v>46387</v>
      </c>
      <c r="F8" s="279">
        <v>46568</v>
      </c>
      <c r="G8" s="280">
        <v>6.9000000000000006E-2</v>
      </c>
      <c r="H8" s="280">
        <v>0.14399999999999999</v>
      </c>
      <c r="I8" s="280">
        <v>0.22700000000000001</v>
      </c>
      <c r="J8" s="280">
        <v>0.32100000000000001</v>
      </c>
      <c r="K8" s="292" t="s">
        <v>322</v>
      </c>
      <c r="L8" s="317">
        <v>45789</v>
      </c>
      <c r="M8" s="314" t="s">
        <v>347</v>
      </c>
    </row>
    <row r="9" spans="2:13" ht="29.25" customHeight="1" thickBot="1">
      <c r="B9" s="304" t="s">
        <v>185</v>
      </c>
      <c r="C9" s="277" t="s">
        <v>315</v>
      </c>
      <c r="D9" s="277" t="s">
        <v>316</v>
      </c>
      <c r="E9" s="452">
        <v>46477</v>
      </c>
      <c r="F9" s="279">
        <v>46660</v>
      </c>
      <c r="G9" s="280">
        <v>0.06</v>
      </c>
      <c r="H9" s="280">
        <v>0.121</v>
      </c>
      <c r="I9" s="280">
        <v>0.20330000000000001</v>
      </c>
      <c r="J9" s="280">
        <v>0.28720000000000001</v>
      </c>
      <c r="K9" s="292" t="s">
        <v>322</v>
      </c>
      <c r="L9" s="317">
        <v>45790</v>
      </c>
      <c r="M9" s="314" t="s">
        <v>347</v>
      </c>
    </row>
    <row r="10" spans="2:13" ht="29.25" customHeight="1" thickBot="1">
      <c r="B10" s="344" t="s">
        <v>260</v>
      </c>
      <c r="C10" s="345" t="s">
        <v>261</v>
      </c>
      <c r="D10" s="345" t="s">
        <v>262</v>
      </c>
      <c r="E10" s="346">
        <v>46359</v>
      </c>
      <c r="F10" s="347">
        <v>46656</v>
      </c>
      <c r="G10" s="348">
        <v>6.4000000000000001E-2</v>
      </c>
      <c r="H10" s="348">
        <v>0.13100000000000001</v>
      </c>
      <c r="I10" s="348">
        <v>0.20699999999999999</v>
      </c>
      <c r="J10" s="348">
        <v>0.29199999999999998</v>
      </c>
      <c r="K10" s="292" t="s">
        <v>322</v>
      </c>
      <c r="L10" s="317">
        <v>45791</v>
      </c>
      <c r="M10" s="314" t="s">
        <v>347</v>
      </c>
    </row>
    <row r="11" spans="2:13" ht="29.25" customHeight="1" thickBot="1">
      <c r="B11" s="304" t="s">
        <v>174</v>
      </c>
      <c r="C11" s="277" t="s">
        <v>300</v>
      </c>
      <c r="D11" s="277" t="s">
        <v>301</v>
      </c>
      <c r="E11" s="452">
        <v>46203</v>
      </c>
      <c r="F11" s="279">
        <v>46386</v>
      </c>
      <c r="G11" s="280">
        <v>6.8000000000000005E-2</v>
      </c>
      <c r="H11" s="280">
        <v>0.14099999999999999</v>
      </c>
      <c r="I11" s="280">
        <v>0.222</v>
      </c>
      <c r="J11" s="280">
        <v>0.314</v>
      </c>
      <c r="K11" s="292" t="s">
        <v>322</v>
      </c>
      <c r="L11" s="317">
        <v>45792</v>
      </c>
      <c r="M11" s="314" t="s">
        <v>348</v>
      </c>
    </row>
    <row r="12" spans="2:13" ht="29.25" customHeight="1" thickBot="1">
      <c r="B12" s="344" t="s">
        <v>197</v>
      </c>
      <c r="C12" s="345" t="s">
        <v>198</v>
      </c>
      <c r="D12" s="345" t="s">
        <v>230</v>
      </c>
      <c r="E12" s="346">
        <v>45930</v>
      </c>
      <c r="F12" s="349">
        <v>46660</v>
      </c>
      <c r="G12" s="348">
        <v>8.4000000000000005E-2</v>
      </c>
      <c r="H12" s="348">
        <v>0.14799999999999999</v>
      </c>
      <c r="I12" s="348">
        <v>0.223</v>
      </c>
      <c r="J12" s="348">
        <v>0.29799999999999999</v>
      </c>
      <c r="K12" s="292" t="s">
        <v>322</v>
      </c>
      <c r="L12" s="317">
        <v>45793</v>
      </c>
      <c r="M12" s="314" t="s">
        <v>377</v>
      </c>
    </row>
    <row r="13" spans="2:13" ht="29.25" customHeight="1" thickBot="1">
      <c r="B13" s="344" t="s">
        <v>197</v>
      </c>
      <c r="C13" s="345" t="s">
        <v>366</v>
      </c>
      <c r="D13" s="345" t="s">
        <v>264</v>
      </c>
      <c r="E13" s="346">
        <v>46477</v>
      </c>
      <c r="F13" s="349"/>
      <c r="G13" s="348">
        <v>8.4000000000000005E-2</v>
      </c>
      <c r="H13" s="348">
        <v>0.14799999999999999</v>
      </c>
      <c r="I13" s="348">
        <v>0.223</v>
      </c>
      <c r="J13" s="348">
        <v>0.29799999999999999</v>
      </c>
      <c r="K13" s="292" t="s">
        <v>322</v>
      </c>
      <c r="L13" s="317">
        <v>45794</v>
      </c>
      <c r="M13" s="314" t="s">
        <v>378</v>
      </c>
    </row>
    <row r="14" spans="2:13" ht="29.25" customHeight="1" thickBot="1">
      <c r="B14" s="344" t="s">
        <v>197</v>
      </c>
      <c r="C14" s="345" t="s">
        <v>196</v>
      </c>
      <c r="D14" s="345" t="s">
        <v>340</v>
      </c>
      <c r="E14" s="346">
        <v>46477</v>
      </c>
      <c r="F14" s="349" t="s">
        <v>326</v>
      </c>
      <c r="G14" s="348">
        <v>8.3000000000000004E-2</v>
      </c>
      <c r="H14" s="348">
        <v>0.14599999999999999</v>
      </c>
      <c r="I14" s="348">
        <v>0.22</v>
      </c>
      <c r="J14" s="348">
        <v>0.29399999999999998</v>
      </c>
      <c r="K14" s="292" t="s">
        <v>334</v>
      </c>
      <c r="L14" s="317">
        <v>45795</v>
      </c>
      <c r="M14" s="314" t="s">
        <v>379</v>
      </c>
    </row>
    <row r="15" spans="2:13" ht="29.25" customHeight="1" thickBot="1">
      <c r="B15" s="306" t="s">
        <v>184</v>
      </c>
      <c r="C15" s="282" t="s">
        <v>210</v>
      </c>
      <c r="D15" s="282" t="s">
        <v>232</v>
      </c>
      <c r="E15" s="453">
        <v>45930</v>
      </c>
      <c r="F15" s="294">
        <v>46111</v>
      </c>
      <c r="G15" s="316">
        <v>6.8000000000000005E-2</v>
      </c>
      <c r="H15" s="285">
        <v>0.14099999999999999</v>
      </c>
      <c r="I15" s="285">
        <v>0.223</v>
      </c>
      <c r="J15" s="285">
        <v>0.315</v>
      </c>
      <c r="K15" s="292">
        <v>45238</v>
      </c>
      <c r="L15" s="317">
        <v>45796</v>
      </c>
      <c r="M15" s="305" t="s">
        <v>350</v>
      </c>
    </row>
    <row r="16" spans="2:13" ht="29.25" customHeight="1" thickBot="1">
      <c r="B16" s="306" t="s">
        <v>184</v>
      </c>
      <c r="C16" s="282" t="s">
        <v>182</v>
      </c>
      <c r="D16" s="282" t="s">
        <v>231</v>
      </c>
      <c r="E16" s="454">
        <v>46022</v>
      </c>
      <c r="F16" s="321">
        <v>46203</v>
      </c>
      <c r="G16" s="285">
        <v>6.8000000000000005E-2</v>
      </c>
      <c r="H16" s="285">
        <v>0.14099999999999999</v>
      </c>
      <c r="I16" s="285">
        <v>0.223</v>
      </c>
      <c r="J16" s="285">
        <v>0.315</v>
      </c>
      <c r="K16" s="292" t="s">
        <v>322</v>
      </c>
      <c r="L16" s="317">
        <v>45797</v>
      </c>
      <c r="M16" s="305" t="s">
        <v>351</v>
      </c>
    </row>
    <row r="17" spans="2:13" ht="29.25" customHeight="1" thickBot="1">
      <c r="B17" s="306" t="s">
        <v>184</v>
      </c>
      <c r="C17" s="282" t="s">
        <v>271</v>
      </c>
      <c r="D17" s="282" t="s">
        <v>272</v>
      </c>
      <c r="E17" s="453">
        <v>46203</v>
      </c>
      <c r="F17" s="376">
        <v>46386</v>
      </c>
      <c r="G17" s="377">
        <v>8.5000000000000006E-2</v>
      </c>
      <c r="H17" s="285">
        <v>0.14599999999999999</v>
      </c>
      <c r="I17" s="285">
        <v>0.22</v>
      </c>
      <c r="J17" s="285">
        <v>0.3</v>
      </c>
      <c r="K17" s="292" t="s">
        <v>322</v>
      </c>
      <c r="L17" s="317">
        <v>45798</v>
      </c>
      <c r="M17" s="305" t="s">
        <v>352</v>
      </c>
    </row>
    <row r="18" spans="2:13" ht="29.25" customHeight="1" thickBot="1">
      <c r="B18" s="306" t="s">
        <v>184</v>
      </c>
      <c r="C18" s="282" t="s">
        <v>300</v>
      </c>
      <c r="D18" s="282" t="s">
        <v>332</v>
      </c>
      <c r="E18" s="453">
        <v>46476</v>
      </c>
      <c r="F18" s="376">
        <v>46660</v>
      </c>
      <c r="G18" s="377">
        <v>8.5000000000000006E-2</v>
      </c>
      <c r="H18" s="285">
        <v>0.14599999999999999</v>
      </c>
      <c r="I18" s="285">
        <v>0.22</v>
      </c>
      <c r="J18" s="285">
        <v>0.3</v>
      </c>
      <c r="K18" s="292" t="s">
        <v>333</v>
      </c>
      <c r="L18" s="317">
        <v>45799</v>
      </c>
      <c r="M18" s="305" t="s">
        <v>349</v>
      </c>
    </row>
    <row r="19" spans="2:13" ht="29.25" customHeight="1" thickBot="1">
      <c r="B19" s="344" t="s">
        <v>201</v>
      </c>
      <c r="C19" s="345" t="s">
        <v>200</v>
      </c>
      <c r="D19" s="345" t="s">
        <v>234</v>
      </c>
      <c r="E19" s="443">
        <v>45838</v>
      </c>
      <c r="F19" s="349">
        <v>46022</v>
      </c>
      <c r="G19" s="348">
        <v>6.5000000000000002E-2</v>
      </c>
      <c r="H19" s="348">
        <v>0.129</v>
      </c>
      <c r="I19" s="348">
        <v>0.20399999999999999</v>
      </c>
      <c r="J19" s="348">
        <v>0.28899999999999998</v>
      </c>
      <c r="K19" s="295">
        <v>45238</v>
      </c>
      <c r="L19" s="317">
        <v>45800</v>
      </c>
      <c r="M19" s="314" t="s">
        <v>353</v>
      </c>
    </row>
    <row r="20" spans="2:13" ht="29.25" customHeight="1" thickBot="1">
      <c r="B20" s="344" t="s">
        <v>201</v>
      </c>
      <c r="C20" s="345" t="s">
        <v>198</v>
      </c>
      <c r="D20" s="345" t="s">
        <v>325</v>
      </c>
      <c r="E20" s="443">
        <v>46477</v>
      </c>
      <c r="F20" s="347" t="s">
        <v>326</v>
      </c>
      <c r="G20" s="348">
        <v>6.5000000000000002E-2</v>
      </c>
      <c r="H20" s="348">
        <v>0.129</v>
      </c>
      <c r="I20" s="348">
        <v>0.20399999999999999</v>
      </c>
      <c r="J20" s="348">
        <v>0.28899999999999998</v>
      </c>
      <c r="K20" s="295" t="s">
        <v>329</v>
      </c>
      <c r="L20" s="317">
        <v>45801</v>
      </c>
      <c r="M20" s="441" t="s">
        <v>349</v>
      </c>
    </row>
    <row r="21" spans="2:13" ht="29.25" customHeight="1" thickBot="1">
      <c r="B21" s="461" t="s">
        <v>303</v>
      </c>
      <c r="C21" s="444" t="s">
        <v>307</v>
      </c>
      <c r="D21" s="444" t="s">
        <v>306</v>
      </c>
      <c r="E21" s="455">
        <v>46295</v>
      </c>
      <c r="F21" s="376">
        <v>46477</v>
      </c>
      <c r="G21" s="316">
        <v>6.4000000000000001E-2</v>
      </c>
      <c r="H21" s="445">
        <v>0.1396</v>
      </c>
      <c r="I21" s="445">
        <v>0.22700000000000001</v>
      </c>
      <c r="J21" s="445">
        <v>0.31669999999999998</v>
      </c>
      <c r="K21" s="378" t="s">
        <v>322</v>
      </c>
      <c r="L21" s="317">
        <v>45802</v>
      </c>
      <c r="M21" s="442" t="s">
        <v>349</v>
      </c>
    </row>
    <row r="22" spans="2:13" ht="29.25" customHeight="1" thickBot="1">
      <c r="B22" s="446" t="s">
        <v>312</v>
      </c>
      <c r="C22" s="462" t="s">
        <v>180</v>
      </c>
      <c r="D22" s="463" t="s">
        <v>313</v>
      </c>
      <c r="E22" s="464">
        <v>45838</v>
      </c>
      <c r="F22" s="349">
        <v>46022</v>
      </c>
      <c r="G22" s="348">
        <v>0.06</v>
      </c>
      <c r="H22" s="348">
        <v>0.12</v>
      </c>
      <c r="I22" s="348">
        <v>0.19</v>
      </c>
      <c r="J22" s="447">
        <v>0.26</v>
      </c>
      <c r="K22" s="448">
        <v>45398</v>
      </c>
      <c r="L22" s="317">
        <v>45793</v>
      </c>
      <c r="M22" s="426" t="s">
        <v>354</v>
      </c>
    </row>
    <row r="23" spans="2:13" ht="29.25" customHeight="1" thickBot="1">
      <c r="B23" s="306" t="s">
        <v>311</v>
      </c>
      <c r="C23" s="282" t="s">
        <v>337</v>
      </c>
      <c r="D23" s="282" t="s">
        <v>338</v>
      </c>
      <c r="E23" s="453">
        <v>46387</v>
      </c>
      <c r="F23" s="294"/>
      <c r="G23" s="285">
        <v>8.3699999999999997E-2</v>
      </c>
      <c r="H23" s="285">
        <v>0.14779999999999999</v>
      </c>
      <c r="I23" s="285">
        <v>0.2223</v>
      </c>
      <c r="J23" s="285">
        <v>0.29749999999999999</v>
      </c>
      <c r="K23" s="378">
        <v>45457</v>
      </c>
      <c r="L23" s="317">
        <v>45804</v>
      </c>
      <c r="M23" s="314" t="s">
        <v>355</v>
      </c>
    </row>
    <row r="24" spans="2:13" s="470" customFormat="1" ht="29.25" customHeight="1" thickBot="1">
      <c r="B24" s="306" t="s">
        <v>311</v>
      </c>
      <c r="C24" s="282" t="s">
        <v>371</v>
      </c>
      <c r="D24" s="282" t="s">
        <v>372</v>
      </c>
      <c r="E24" s="375">
        <v>46568</v>
      </c>
      <c r="F24" s="376"/>
      <c r="G24" s="285">
        <v>5.0999999999999997E-2</v>
      </c>
      <c r="H24" s="285">
        <v>0.11849999999999999</v>
      </c>
      <c r="I24" s="285">
        <v>0.2084</v>
      </c>
      <c r="J24" s="285">
        <v>0.3009</v>
      </c>
      <c r="K24" s="378">
        <v>45597</v>
      </c>
      <c r="L24" s="317">
        <v>45805</v>
      </c>
      <c r="M24" s="469" t="s">
        <v>370</v>
      </c>
    </row>
    <row r="25" spans="2:13" s="470" customFormat="1" ht="29.25" customHeight="1" thickBot="1">
      <c r="B25" s="306" t="s">
        <v>394</v>
      </c>
      <c r="C25" s="282" t="s">
        <v>395</v>
      </c>
      <c r="D25" s="282" t="s">
        <v>396</v>
      </c>
      <c r="E25" s="375">
        <v>46286</v>
      </c>
      <c r="F25" s="376">
        <v>46377</v>
      </c>
      <c r="G25" s="285">
        <v>5.9299999999999999E-2</v>
      </c>
      <c r="H25" s="285">
        <v>0.1454</v>
      </c>
      <c r="I25" s="285">
        <v>0.2276</v>
      </c>
      <c r="J25" s="285">
        <v>0.29499999999999998</v>
      </c>
      <c r="K25" s="378"/>
      <c r="L25" s="317">
        <v>45806</v>
      </c>
      <c r="M25" s="469"/>
    </row>
    <row r="26" spans="2:13" ht="29.25" customHeight="1" thickBot="1">
      <c r="B26" s="344" t="s">
        <v>341</v>
      </c>
      <c r="C26" s="345" t="s">
        <v>180</v>
      </c>
      <c r="D26" s="345" t="s">
        <v>342</v>
      </c>
      <c r="E26" s="443">
        <v>46507</v>
      </c>
      <c r="F26" s="349">
        <v>46751</v>
      </c>
      <c r="G26" s="348">
        <v>5.6599999999999998E-2</v>
      </c>
      <c r="H26" s="348">
        <v>0.13189999999999999</v>
      </c>
      <c r="I26" s="348">
        <v>0.21929999999999999</v>
      </c>
      <c r="J26" s="348">
        <v>0.30890000000000001</v>
      </c>
      <c r="K26" s="468">
        <v>45551</v>
      </c>
      <c r="L26" s="317">
        <v>45807</v>
      </c>
      <c r="M26" s="314" t="s">
        <v>343</v>
      </c>
    </row>
    <row r="27" spans="2:13" s="470" customFormat="1" ht="29.25" customHeight="1" thickBot="1">
      <c r="B27" s="344" t="s">
        <v>341</v>
      </c>
      <c r="C27" s="345" t="s">
        <v>212</v>
      </c>
      <c r="D27" s="345" t="s">
        <v>367</v>
      </c>
      <c r="E27" s="350">
        <v>46568</v>
      </c>
      <c r="F27" s="349"/>
      <c r="G27" s="348">
        <v>5.0099999999999999E-2</v>
      </c>
      <c r="H27" s="348">
        <v>0.11269999999999999</v>
      </c>
      <c r="I27" s="348">
        <v>0.1968</v>
      </c>
      <c r="J27" s="348">
        <v>0.28270000000000001</v>
      </c>
      <c r="K27" s="468">
        <v>45597</v>
      </c>
      <c r="L27" s="317">
        <v>45808</v>
      </c>
      <c r="M27" s="473" t="s">
        <v>370</v>
      </c>
    </row>
    <row r="28" spans="2:13" ht="29.25" customHeight="1" thickBot="1">
      <c r="B28" s="465" t="s">
        <v>344</v>
      </c>
      <c r="C28" s="466" t="s">
        <v>263</v>
      </c>
      <c r="D28" s="466" t="s">
        <v>345</v>
      </c>
      <c r="E28" s="467">
        <v>46295</v>
      </c>
      <c r="F28" s="294">
        <v>46477</v>
      </c>
      <c r="G28" s="377">
        <v>7.9799999999999996E-2</v>
      </c>
      <c r="H28" s="285">
        <v>0.1414</v>
      </c>
      <c r="I28" s="285">
        <v>0.21329999999999999</v>
      </c>
      <c r="J28" s="285">
        <v>0.28539999999999999</v>
      </c>
      <c r="K28" s="378">
        <v>45560</v>
      </c>
      <c r="L28" s="317">
        <v>45809</v>
      </c>
      <c r="M28" s="314" t="s">
        <v>365</v>
      </c>
    </row>
    <row r="29" spans="2:13" ht="29.25" customHeight="1" thickBot="1">
      <c r="B29" s="491" t="s">
        <v>358</v>
      </c>
      <c r="C29" s="492" t="s">
        <v>196</v>
      </c>
      <c r="D29" s="492" t="s">
        <v>359</v>
      </c>
      <c r="E29" s="493">
        <v>45808</v>
      </c>
      <c r="F29" s="494"/>
      <c r="G29" s="495">
        <v>7.0000000000000007E-2</v>
      </c>
      <c r="H29" s="496">
        <v>0.1414</v>
      </c>
      <c r="I29" s="496">
        <v>0.21929999999999999</v>
      </c>
      <c r="J29" s="496">
        <v>0.28749999999999998</v>
      </c>
      <c r="K29" s="497">
        <v>45731</v>
      </c>
      <c r="L29" s="317">
        <v>45810</v>
      </c>
      <c r="M29" s="314"/>
    </row>
    <row r="30" spans="2:13" ht="29.25" customHeight="1" thickBot="1">
      <c r="B30" s="491" t="s">
        <v>358</v>
      </c>
      <c r="C30" s="492" t="s">
        <v>391</v>
      </c>
      <c r="D30" s="492" t="s">
        <v>392</v>
      </c>
      <c r="E30" s="493">
        <v>46295</v>
      </c>
      <c r="F30" s="494"/>
      <c r="G30" s="495">
        <v>8.3699999999999997E-2</v>
      </c>
      <c r="H30" s="496">
        <v>0.14779999999999999</v>
      </c>
      <c r="I30" s="496">
        <v>0.22700000000000001</v>
      </c>
      <c r="J30" s="496">
        <v>0.32200000000000001</v>
      </c>
      <c r="K30" s="497">
        <v>45731</v>
      </c>
      <c r="L30" s="317">
        <v>45811</v>
      </c>
      <c r="M30" s="314"/>
    </row>
    <row r="31" spans="2:13" ht="29.25" customHeight="1" thickBot="1">
      <c r="B31" s="306" t="s">
        <v>335</v>
      </c>
      <c r="C31" s="282" t="s">
        <v>368</v>
      </c>
      <c r="D31" s="282" t="s">
        <v>369</v>
      </c>
      <c r="E31" s="498">
        <v>45838</v>
      </c>
      <c r="F31" s="376"/>
      <c r="G31" s="377">
        <v>3.7499999999999999E-2</v>
      </c>
      <c r="H31" s="285">
        <v>0.11</v>
      </c>
      <c r="I31" s="285">
        <v>0.19</v>
      </c>
      <c r="J31" s="285">
        <v>0.27900000000000003</v>
      </c>
      <c r="K31" s="378" t="s">
        <v>336</v>
      </c>
      <c r="L31" s="317">
        <v>45812</v>
      </c>
      <c r="M31" s="314"/>
    </row>
    <row r="32" spans="2:13" ht="29.25" customHeight="1" thickBot="1">
      <c r="B32" s="499" t="s">
        <v>202</v>
      </c>
      <c r="C32" s="492" t="s">
        <v>327</v>
      </c>
      <c r="D32" s="492" t="s">
        <v>328</v>
      </c>
      <c r="E32" s="500">
        <v>45869</v>
      </c>
      <c r="F32" s="494">
        <v>46022</v>
      </c>
      <c r="G32" s="495">
        <v>6.4000000000000001E-2</v>
      </c>
      <c r="H32" s="496">
        <v>0.126</v>
      </c>
      <c r="I32" s="496">
        <v>0.19900000000000001</v>
      </c>
      <c r="J32" s="496">
        <v>0.28100000000000003</v>
      </c>
      <c r="K32" s="497">
        <v>45238</v>
      </c>
      <c r="L32" s="317">
        <v>45813</v>
      </c>
      <c r="M32" s="356" t="s">
        <v>356</v>
      </c>
    </row>
    <row r="33" spans="2:13" ht="29.25" customHeight="1" thickBot="1">
      <c r="B33" s="501" t="s">
        <v>202</v>
      </c>
      <c r="C33" s="502" t="s">
        <v>331</v>
      </c>
      <c r="D33" s="502" t="s">
        <v>330</v>
      </c>
      <c r="E33" s="503">
        <v>46660</v>
      </c>
      <c r="F33" s="504">
        <v>46022</v>
      </c>
      <c r="G33" s="505">
        <v>6.4000000000000001E-2</v>
      </c>
      <c r="H33" s="505">
        <v>0.126</v>
      </c>
      <c r="I33" s="505">
        <v>0.19900000000000001</v>
      </c>
      <c r="J33" s="505">
        <v>0.28100000000000003</v>
      </c>
      <c r="K33" s="506">
        <v>45491</v>
      </c>
      <c r="L33" s="317">
        <v>45814</v>
      </c>
      <c r="M33" s="356" t="s">
        <v>357</v>
      </c>
    </row>
    <row r="34" spans="2:13" ht="29.25" customHeight="1"/>
    <row r="35" spans="2:13" ht="29.25" customHeight="1"/>
    <row r="36" spans="2:13" ht="29.25" customHeight="1"/>
    <row r="37" spans="2:13" ht="29.25" customHeight="1"/>
    <row r="38" spans="2:13" ht="29.25" customHeight="1"/>
    <row r="39" spans="2:13" ht="29.25" customHeight="1"/>
    <row r="40" spans="2:13" ht="29.25" customHeight="1"/>
    <row r="41" spans="2:13" ht="29.25" customHeight="1"/>
    <row r="42" spans="2:13" ht="29.25" customHeight="1"/>
    <row r="44" spans="2:13">
      <c r="M44" s="276"/>
    </row>
    <row r="45" spans="2:13">
      <c r="M45" s="276"/>
    </row>
    <row r="46" spans="2:13">
      <c r="M46" s="276"/>
    </row>
    <row r="47" spans="2:13">
      <c r="D47" s="427"/>
    </row>
    <row r="48" spans="2:13" ht="15.75" thickBot="1">
      <c r="D48" s="482"/>
    </row>
    <row r="49" spans="2:13" ht="27" customHeight="1" thickBot="1">
      <c r="K49" s="362">
        <v>45198</v>
      </c>
      <c r="L49" s="315" t="s">
        <v>243</v>
      </c>
      <c r="M49" s="315" t="s">
        <v>207</v>
      </c>
    </row>
    <row r="50" spans="2:13" ht="27" customHeight="1" thickBot="1">
      <c r="B50" s="357" t="s">
        <v>183</v>
      </c>
      <c r="C50" s="358" t="s">
        <v>179</v>
      </c>
      <c r="D50" s="358" t="s">
        <v>237</v>
      </c>
      <c r="E50" s="359">
        <v>45260</v>
      </c>
      <c r="F50" s="360">
        <v>45442</v>
      </c>
      <c r="G50" s="361"/>
      <c r="H50" s="361"/>
      <c r="I50" s="361"/>
      <c r="J50" s="361">
        <v>0.28000000000000003</v>
      </c>
      <c r="K50" s="292">
        <v>45198</v>
      </c>
      <c r="L50" s="305" t="s">
        <v>244</v>
      </c>
      <c r="M50" s="305" t="s">
        <v>207</v>
      </c>
    </row>
    <row r="51" spans="2:13" ht="27" customHeight="1" thickBot="1">
      <c r="B51" s="306" t="s">
        <v>175</v>
      </c>
      <c r="C51" s="282" t="s">
        <v>180</v>
      </c>
      <c r="D51" s="282" t="s">
        <v>238</v>
      </c>
      <c r="E51" s="283">
        <v>45260</v>
      </c>
      <c r="F51" s="284">
        <v>45442</v>
      </c>
      <c r="G51" s="285">
        <v>6.3E-2</v>
      </c>
      <c r="H51" s="285">
        <v>0.13</v>
      </c>
      <c r="I51" s="285">
        <v>0.2</v>
      </c>
      <c r="J51" s="285">
        <v>0.28000000000000003</v>
      </c>
      <c r="K51" s="292">
        <v>45198</v>
      </c>
      <c r="L51" s="305" t="s">
        <v>243</v>
      </c>
      <c r="M51" s="305" t="s">
        <v>207</v>
      </c>
    </row>
    <row r="52" spans="2:13" ht="27" customHeight="1" thickBot="1">
      <c r="B52" s="306" t="s">
        <v>174</v>
      </c>
      <c r="C52" s="282" t="s">
        <v>176</v>
      </c>
      <c r="D52" s="282" t="s">
        <v>239</v>
      </c>
      <c r="E52" s="283">
        <v>45260</v>
      </c>
      <c r="F52" s="284">
        <v>45442</v>
      </c>
      <c r="G52" s="285"/>
      <c r="H52" s="285"/>
      <c r="I52" s="285"/>
      <c r="J52" s="285">
        <v>0.28000000000000003</v>
      </c>
      <c r="K52" s="312">
        <v>45198</v>
      </c>
      <c r="L52" s="313" t="s">
        <v>243</v>
      </c>
      <c r="M52" s="313" t="s">
        <v>207</v>
      </c>
    </row>
    <row r="53" spans="2:13" ht="27" customHeight="1" thickBot="1">
      <c r="B53" s="307" t="s">
        <v>174</v>
      </c>
      <c r="C53" s="308" t="s">
        <v>177</v>
      </c>
      <c r="D53" s="308" t="s">
        <v>240</v>
      </c>
      <c r="E53" s="309">
        <v>45260</v>
      </c>
      <c r="F53" s="310">
        <v>45442</v>
      </c>
      <c r="G53" s="311"/>
      <c r="H53" s="311"/>
      <c r="I53" s="311"/>
      <c r="J53" s="311">
        <v>0.28000000000000003</v>
      </c>
      <c r="K53" s="292">
        <v>45198</v>
      </c>
      <c r="L53" s="314" t="s">
        <v>245</v>
      </c>
      <c r="M53" s="305" t="s">
        <v>209</v>
      </c>
    </row>
    <row r="54" spans="2:13" ht="27" customHeight="1" thickBot="1">
      <c r="B54" s="306" t="s">
        <v>183</v>
      </c>
      <c r="C54" s="282" t="s">
        <v>178</v>
      </c>
      <c r="D54" s="282" t="s">
        <v>241</v>
      </c>
      <c r="E54" s="283">
        <v>45260</v>
      </c>
      <c r="F54" s="284">
        <v>45442</v>
      </c>
      <c r="G54" s="285">
        <v>6.3E-2</v>
      </c>
      <c r="H54" s="285">
        <v>0.13</v>
      </c>
      <c r="I54" s="285">
        <v>0.2</v>
      </c>
      <c r="J54" s="285">
        <v>0.28000000000000003</v>
      </c>
      <c r="K54" s="312">
        <v>45198</v>
      </c>
      <c r="L54" s="356" t="s">
        <v>246</v>
      </c>
      <c r="M54" s="313" t="s">
        <v>209</v>
      </c>
    </row>
    <row r="55" spans="2:13" ht="15.75" thickBot="1">
      <c r="B55" s="363" t="s">
        <v>195</v>
      </c>
      <c r="C55" s="364" t="s">
        <v>196</v>
      </c>
      <c r="D55" s="308" t="s">
        <v>242</v>
      </c>
      <c r="E55" s="365">
        <v>45260</v>
      </c>
      <c r="F55" s="366">
        <v>45442</v>
      </c>
      <c r="G55" s="311">
        <v>6.3E-2</v>
      </c>
      <c r="H55" s="311">
        <v>0.13</v>
      </c>
      <c r="I55" s="311">
        <v>0.2</v>
      </c>
      <c r="J55" s="367">
        <v>0.28000000000000003</v>
      </c>
    </row>
    <row r="56" spans="2:13" ht="24.75" thickBot="1">
      <c r="B56" s="304" t="s">
        <v>185</v>
      </c>
      <c r="C56" s="277" t="s">
        <v>196</v>
      </c>
      <c r="D56" s="277" t="s">
        <v>259</v>
      </c>
      <c r="E56" s="278">
        <v>46387</v>
      </c>
      <c r="F56" s="279">
        <v>46568</v>
      </c>
      <c r="G56" s="280">
        <v>6.9000000000000006E-2</v>
      </c>
      <c r="H56" s="280">
        <v>0.14399999999999999</v>
      </c>
      <c r="I56" s="280">
        <v>0.22700000000000001</v>
      </c>
      <c r="J56" s="280">
        <v>0.32100000000000001</v>
      </c>
      <c r="K56" s="292">
        <v>45226</v>
      </c>
      <c r="L56" s="317">
        <v>45476</v>
      </c>
      <c r="M56" s="314" t="s">
        <v>319</v>
      </c>
    </row>
    <row r="57" spans="2:13" ht="24.75" thickBot="1">
      <c r="B57" s="304" t="s">
        <v>185</v>
      </c>
      <c r="C57" s="277" t="s">
        <v>315</v>
      </c>
      <c r="D57" s="277" t="s">
        <v>316</v>
      </c>
      <c r="E57" s="278">
        <v>46477</v>
      </c>
      <c r="F57" s="279">
        <v>46660</v>
      </c>
      <c r="G57" s="280">
        <v>0.06</v>
      </c>
      <c r="H57" s="280">
        <v>0.121</v>
      </c>
      <c r="I57" s="280">
        <v>0.20330000000000001</v>
      </c>
      <c r="J57" s="280">
        <v>0.28720000000000001</v>
      </c>
      <c r="K57" s="292">
        <v>45405</v>
      </c>
      <c r="L57" s="317">
        <v>45476</v>
      </c>
      <c r="M57" s="314" t="s">
        <v>320</v>
      </c>
    </row>
    <row r="58" spans="2:13" ht="36.75" thickBot="1">
      <c r="B58" s="456" t="s">
        <v>183</v>
      </c>
      <c r="C58" s="457" t="s">
        <v>211</v>
      </c>
      <c r="D58" s="457" t="s">
        <v>228</v>
      </c>
      <c r="E58" s="452">
        <v>45545</v>
      </c>
      <c r="F58" s="458">
        <v>45657</v>
      </c>
      <c r="G58" s="280">
        <v>6.8000000000000005E-2</v>
      </c>
      <c r="H58" s="280">
        <v>0.14099999999999999</v>
      </c>
      <c r="I58" s="280">
        <v>0.223</v>
      </c>
      <c r="J58" s="280">
        <v>0.314</v>
      </c>
      <c r="K58" s="292">
        <v>45198</v>
      </c>
      <c r="L58" s="440">
        <v>45519</v>
      </c>
      <c r="M58" s="314" t="s">
        <v>339</v>
      </c>
    </row>
    <row r="59" spans="2:13" ht="36.75" thickBot="1">
      <c r="B59" s="304" t="s">
        <v>174</v>
      </c>
      <c r="C59" s="277" t="s">
        <v>205</v>
      </c>
      <c r="D59" s="277" t="s">
        <v>216</v>
      </c>
      <c r="E59" s="452">
        <v>45565</v>
      </c>
      <c r="F59" s="279">
        <v>45747</v>
      </c>
      <c r="G59" s="280">
        <v>6.7500000000000004E-2</v>
      </c>
      <c r="H59" s="280">
        <v>0.14099999999999999</v>
      </c>
      <c r="I59" s="280">
        <v>0.222</v>
      </c>
      <c r="J59" s="280">
        <v>0.314</v>
      </c>
      <c r="K59" s="292">
        <v>45226</v>
      </c>
      <c r="L59" s="317">
        <v>45550</v>
      </c>
      <c r="M59" s="314" t="s">
        <v>321</v>
      </c>
    </row>
    <row r="60" spans="2:13" ht="36.75" thickBot="1">
      <c r="B60" s="344" t="s">
        <v>195</v>
      </c>
      <c r="C60" s="345" t="s">
        <v>212</v>
      </c>
      <c r="D60" s="345" t="s">
        <v>215</v>
      </c>
      <c r="E60" s="346">
        <v>45597</v>
      </c>
      <c r="F60" s="347">
        <v>45656</v>
      </c>
      <c r="G60" s="348">
        <v>6.6000000000000003E-2</v>
      </c>
      <c r="H60" s="348">
        <v>0.13800000000000001</v>
      </c>
      <c r="I60" s="348">
        <v>0.218</v>
      </c>
      <c r="J60" s="348">
        <v>0.308</v>
      </c>
      <c r="K60" s="292">
        <v>45198</v>
      </c>
      <c r="L60" s="317">
        <v>45580</v>
      </c>
      <c r="M60" s="314" t="s">
        <v>363</v>
      </c>
    </row>
    <row r="61" spans="2:13" ht="15.75" thickBot="1">
      <c r="B61" s="306" t="s">
        <v>303</v>
      </c>
      <c r="C61" s="282" t="s">
        <v>304</v>
      </c>
      <c r="D61" s="282" t="s">
        <v>305</v>
      </c>
      <c r="E61" s="452">
        <v>45657</v>
      </c>
      <c r="F61" s="283">
        <v>45838</v>
      </c>
      <c r="G61" s="316">
        <v>5.3199999999999997E-2</v>
      </c>
      <c r="H61" s="285">
        <v>0.1167</v>
      </c>
      <c r="I61" s="285">
        <v>0.19059999999999999</v>
      </c>
      <c r="J61" s="285">
        <v>0.26500000000000001</v>
      </c>
      <c r="K61" s="378">
        <v>45394</v>
      </c>
      <c r="L61" s="317">
        <v>45589</v>
      </c>
      <c r="M61" s="471" t="s">
        <v>364</v>
      </c>
    </row>
    <row r="62" spans="2:13" ht="15.75" thickBot="1">
      <c r="B62" s="304" t="s">
        <v>174</v>
      </c>
      <c r="C62" s="277" t="s">
        <v>206</v>
      </c>
      <c r="D62" s="277" t="s">
        <v>217</v>
      </c>
      <c r="E62" s="452">
        <v>45838</v>
      </c>
      <c r="F62" s="296">
        <v>46021</v>
      </c>
      <c r="G62" s="280">
        <v>6.7000000000000004E-2</v>
      </c>
      <c r="H62" s="280">
        <v>0.14099999999999999</v>
      </c>
      <c r="I62" s="280">
        <v>0.222</v>
      </c>
      <c r="J62" s="280">
        <v>0.314</v>
      </c>
      <c r="K62" s="292">
        <v>45226</v>
      </c>
      <c r="L62" s="317">
        <v>45617</v>
      </c>
      <c r="M62" s="314" t="s">
        <v>375</v>
      </c>
    </row>
    <row r="63" spans="2:13" ht="15.75" thickBot="1">
      <c r="B63" s="344" t="s">
        <v>186</v>
      </c>
      <c r="C63" s="345" t="s">
        <v>181</v>
      </c>
      <c r="D63" s="345" t="s">
        <v>229</v>
      </c>
      <c r="E63" s="346">
        <v>45657</v>
      </c>
      <c r="F63" s="347">
        <v>45838</v>
      </c>
      <c r="G63" s="348">
        <v>8.4000000000000005E-2</v>
      </c>
      <c r="H63" s="348">
        <v>0.14799999999999999</v>
      </c>
      <c r="I63" s="348">
        <v>0.223</v>
      </c>
      <c r="J63" s="348">
        <v>0.29799999999999999</v>
      </c>
      <c r="K63" s="292">
        <v>45226</v>
      </c>
      <c r="L63" s="317">
        <v>45622</v>
      </c>
      <c r="M63" s="314" t="s">
        <v>376</v>
      </c>
    </row>
    <row r="64" spans="2:13" ht="15.75" thickBot="1">
      <c r="B64" s="465" t="s">
        <v>358</v>
      </c>
      <c r="C64" s="282" t="s">
        <v>196</v>
      </c>
      <c r="D64" s="282" t="s">
        <v>359</v>
      </c>
      <c r="E64" s="467">
        <v>45808</v>
      </c>
      <c r="F64" s="294"/>
      <c r="G64" s="377">
        <v>6.93E-2</v>
      </c>
      <c r="H64" s="285">
        <v>0.1474</v>
      </c>
      <c r="I64" s="285">
        <v>0.23760000000000001</v>
      </c>
      <c r="J64" s="285">
        <v>0.34339999999999998</v>
      </c>
      <c r="L64" s="317">
        <v>45653</v>
      </c>
      <c r="M64" s="314" t="s">
        <v>376</v>
      </c>
    </row>
    <row r="65" spans="2:13" ht="36">
      <c r="B65" s="304" t="s">
        <v>185</v>
      </c>
      <c r="C65" s="277" t="s">
        <v>324</v>
      </c>
      <c r="D65" s="277" t="s">
        <v>323</v>
      </c>
      <c r="E65" s="452">
        <v>45838</v>
      </c>
      <c r="F65" s="279">
        <v>46021</v>
      </c>
      <c r="G65" s="280">
        <v>6.9000000000000006E-2</v>
      </c>
      <c r="H65" s="280">
        <v>0.14399999999999999</v>
      </c>
      <c r="I65" s="280">
        <v>0.22700000000000001</v>
      </c>
      <c r="J65" s="280">
        <v>0.32100000000000001</v>
      </c>
      <c r="K65" s="292">
        <v>45226</v>
      </c>
      <c r="L65" s="317">
        <v>45776</v>
      </c>
      <c r="M65" s="314" t="s">
        <v>346</v>
      </c>
    </row>
    <row r="76" spans="2:13">
      <c r="G76" s="380" t="s">
        <v>279</v>
      </c>
      <c r="H76" s="379"/>
      <c r="I76" s="379"/>
      <c r="J76" s="379"/>
    </row>
    <row r="79" spans="2:13">
      <c r="G79" s="319" t="s">
        <v>213</v>
      </c>
      <c r="H79" s="319"/>
      <c r="I79" s="319"/>
      <c r="J79" s="319"/>
    </row>
    <row r="80" spans="2:13" ht="15.75" thickBot="1">
      <c r="G80" s="298" t="s">
        <v>166</v>
      </c>
      <c r="H80" s="299" t="s">
        <v>167</v>
      </c>
      <c r="I80" s="298" t="s">
        <v>0</v>
      </c>
      <c r="J80" s="298" t="s">
        <v>214</v>
      </c>
    </row>
    <row r="81" spans="2:11" ht="30.75" thickBot="1">
      <c r="B81" s="300" t="s">
        <v>168</v>
      </c>
      <c r="C81" s="301" t="s">
        <v>169</v>
      </c>
      <c r="D81" s="301" t="s">
        <v>187</v>
      </c>
      <c r="E81" s="301" t="s">
        <v>170</v>
      </c>
      <c r="F81" s="301" t="s">
        <v>171</v>
      </c>
      <c r="G81" s="302" t="s">
        <v>172</v>
      </c>
      <c r="H81" s="302" t="s">
        <v>172</v>
      </c>
      <c r="I81" s="302" t="s">
        <v>172</v>
      </c>
      <c r="J81" s="303" t="s">
        <v>172</v>
      </c>
      <c r="K81" s="290" t="s">
        <v>193</v>
      </c>
    </row>
    <row r="82" spans="2:11">
      <c r="B82" s="436"/>
      <c r="C82" s="437"/>
      <c r="D82" s="437"/>
      <c r="E82" s="437"/>
      <c r="F82" s="437"/>
      <c r="G82" s="438"/>
      <c r="H82" s="438"/>
      <c r="I82" s="438"/>
      <c r="J82" s="438"/>
      <c r="K82" s="439"/>
    </row>
    <row r="83" spans="2:11">
      <c r="B83" s="436"/>
      <c r="C83" s="437"/>
      <c r="D83" s="437"/>
      <c r="E83" s="437"/>
      <c r="F83" s="437"/>
      <c r="G83" s="438"/>
      <c r="H83" s="438"/>
      <c r="I83" s="438"/>
      <c r="J83" s="438"/>
      <c r="K83" s="439"/>
    </row>
    <row r="84" spans="2:11" ht="15.75" thickBot="1">
      <c r="B84" s="436"/>
      <c r="C84" s="437"/>
      <c r="D84" s="437"/>
      <c r="E84" s="437"/>
      <c r="F84" s="437"/>
      <c r="G84" s="438"/>
      <c r="H84" s="438"/>
      <c r="I84" s="438"/>
      <c r="J84" s="438"/>
      <c r="K84" s="439"/>
    </row>
    <row r="85" spans="2:11" ht="15.75" thickBot="1">
      <c r="B85" s="304" t="s">
        <v>185</v>
      </c>
      <c r="C85" s="277" t="s">
        <v>188</v>
      </c>
      <c r="D85" s="277" t="s">
        <v>226</v>
      </c>
      <c r="E85" s="278">
        <v>45838</v>
      </c>
      <c r="F85" s="279">
        <v>46021</v>
      </c>
      <c r="G85" s="280">
        <v>6.9000000000000006E-2</v>
      </c>
      <c r="H85" s="280">
        <v>0.14399999999999999</v>
      </c>
      <c r="I85" s="280">
        <v>0.22700000000000001</v>
      </c>
      <c r="J85" s="280">
        <v>0.32100000000000001</v>
      </c>
      <c r="K85" s="291">
        <v>45226</v>
      </c>
    </row>
    <row r="86" spans="2:11" ht="15.75" thickBot="1">
      <c r="B86" s="304"/>
      <c r="C86" s="277"/>
      <c r="D86" s="277"/>
      <c r="E86" s="278"/>
      <c r="F86" s="279"/>
      <c r="G86" s="280"/>
      <c r="H86" s="280"/>
      <c r="I86" s="280"/>
      <c r="J86" s="280"/>
      <c r="K86" s="291"/>
    </row>
    <row r="87" spans="2:11" ht="15.75" thickBot="1">
      <c r="B87" s="304" t="s">
        <v>185</v>
      </c>
      <c r="C87" s="277" t="s">
        <v>210</v>
      </c>
      <c r="D87" s="277" t="s">
        <v>227</v>
      </c>
      <c r="E87" s="278">
        <v>45838</v>
      </c>
      <c r="F87" s="279">
        <v>46021</v>
      </c>
      <c r="G87" s="280">
        <v>6.9000000000000006E-2</v>
      </c>
      <c r="H87" s="280">
        <v>0.14399999999999999</v>
      </c>
      <c r="I87" s="280">
        <v>0.22700000000000001</v>
      </c>
      <c r="J87" s="280">
        <v>0.32100000000000001</v>
      </c>
      <c r="K87" s="291">
        <v>45226</v>
      </c>
    </row>
    <row r="88" spans="2:11" ht="15.75" thickBot="1">
      <c r="B88" s="304" t="s">
        <v>185</v>
      </c>
      <c r="C88" s="277" t="s">
        <v>196</v>
      </c>
      <c r="D88" s="277" t="s">
        <v>259</v>
      </c>
      <c r="E88" s="278">
        <v>46387</v>
      </c>
      <c r="F88" s="279">
        <v>46568</v>
      </c>
      <c r="G88" s="280">
        <v>6.9000000000000006E-2</v>
      </c>
      <c r="H88" s="280">
        <v>0.14399999999999999</v>
      </c>
      <c r="I88" s="280">
        <v>0.22700000000000001</v>
      </c>
      <c r="J88" s="280">
        <v>0.32100000000000001</v>
      </c>
      <c r="K88" s="291">
        <v>45226</v>
      </c>
    </row>
    <row r="89" spans="2:11" ht="15.75" thickBot="1">
      <c r="B89" s="304"/>
      <c r="C89" s="277"/>
      <c r="D89" s="277"/>
      <c r="E89" s="278"/>
      <c r="F89" s="279"/>
      <c r="G89" s="280"/>
      <c r="H89" s="280"/>
      <c r="I89" s="280"/>
      <c r="J89" s="280"/>
      <c r="K89" s="291"/>
    </row>
    <row r="90" spans="2:11" ht="15.75" thickBot="1">
      <c r="B90" s="344" t="s">
        <v>260</v>
      </c>
      <c r="C90" s="345" t="s">
        <v>261</v>
      </c>
      <c r="D90" s="345" t="s">
        <v>262</v>
      </c>
      <c r="E90" s="346">
        <v>46458</v>
      </c>
      <c r="F90" s="347">
        <v>46656</v>
      </c>
      <c r="G90" s="348">
        <v>6.4000000000000001E-2</v>
      </c>
      <c r="H90" s="348">
        <v>0.13100000000000001</v>
      </c>
      <c r="I90" s="348">
        <v>0.20699999999999999</v>
      </c>
      <c r="J90" s="348">
        <v>0.29199999999999998</v>
      </c>
      <c r="K90" s="291">
        <v>45308</v>
      </c>
    </row>
    <row r="91" spans="2:11" ht="15.75" thickBot="1">
      <c r="B91" s="344"/>
      <c r="C91" s="345"/>
      <c r="D91" s="345"/>
      <c r="E91" s="346"/>
      <c r="F91" s="347"/>
      <c r="G91" s="348"/>
      <c r="H91" s="348"/>
      <c r="I91" s="348"/>
      <c r="J91" s="348"/>
      <c r="K91" s="291"/>
    </row>
    <row r="92" spans="2:11" ht="15.75" thickBot="1">
      <c r="B92" s="304" t="s">
        <v>183</v>
      </c>
      <c r="C92" s="277" t="s">
        <v>211</v>
      </c>
      <c r="D92" s="277" t="s">
        <v>228</v>
      </c>
      <c r="E92" s="278">
        <v>45473</v>
      </c>
      <c r="F92" s="279">
        <v>45657</v>
      </c>
      <c r="G92" s="280">
        <v>6.8000000000000005E-2</v>
      </c>
      <c r="H92" s="280">
        <v>0.14099999999999999</v>
      </c>
      <c r="I92" s="280">
        <v>0.223</v>
      </c>
      <c r="J92" s="280">
        <v>0.314</v>
      </c>
      <c r="K92" s="291">
        <v>45198</v>
      </c>
    </row>
    <row r="93" spans="2:11" ht="15.75" thickBot="1">
      <c r="B93" s="344" t="s">
        <v>195</v>
      </c>
      <c r="C93" s="345" t="s">
        <v>212</v>
      </c>
      <c r="D93" s="345" t="s">
        <v>215</v>
      </c>
      <c r="E93" s="346">
        <v>45471</v>
      </c>
      <c r="F93" s="347">
        <v>45656</v>
      </c>
      <c r="G93" s="348">
        <v>6.6000000000000003E-2</v>
      </c>
      <c r="H93" s="348">
        <v>0.13800000000000001</v>
      </c>
      <c r="I93" s="348">
        <v>0.218</v>
      </c>
      <c r="J93" s="348">
        <v>0.308</v>
      </c>
      <c r="K93" s="291">
        <v>45198</v>
      </c>
    </row>
    <row r="94" spans="2:11" ht="15.75" thickBot="1">
      <c r="B94" s="344"/>
      <c r="C94" s="345"/>
      <c r="D94" s="345"/>
      <c r="E94" s="346"/>
      <c r="F94" s="347"/>
      <c r="G94" s="348"/>
      <c r="H94" s="348"/>
      <c r="I94" s="348"/>
      <c r="J94" s="348"/>
      <c r="K94" s="291"/>
    </row>
    <row r="95" spans="2:11" ht="15.75" thickBot="1">
      <c r="B95" s="304" t="s">
        <v>174</v>
      </c>
      <c r="C95" s="277" t="s">
        <v>205</v>
      </c>
      <c r="D95" s="277" t="s">
        <v>216</v>
      </c>
      <c r="E95" s="278">
        <v>45565</v>
      </c>
      <c r="F95" s="279">
        <v>45747</v>
      </c>
      <c r="G95" s="280">
        <v>6.7500000000000004E-2</v>
      </c>
      <c r="H95" s="280">
        <v>0.14099999999999999</v>
      </c>
      <c r="I95" s="280">
        <v>0.222</v>
      </c>
      <c r="J95" s="280">
        <v>0.314</v>
      </c>
      <c r="K95" s="292">
        <v>45226</v>
      </c>
    </row>
    <row r="96" spans="2:11" ht="15.75" thickBot="1">
      <c r="B96" s="304" t="s">
        <v>174</v>
      </c>
      <c r="C96" s="277" t="s">
        <v>206</v>
      </c>
      <c r="D96" s="277" t="s">
        <v>217</v>
      </c>
      <c r="E96" s="278">
        <v>45838</v>
      </c>
      <c r="F96" s="296">
        <v>46021</v>
      </c>
      <c r="G96" s="280">
        <v>6.7000000000000004E-2</v>
      </c>
      <c r="H96" s="280">
        <v>0.14099999999999999</v>
      </c>
      <c r="I96" s="280">
        <v>0.222</v>
      </c>
      <c r="J96" s="280">
        <v>0.314</v>
      </c>
      <c r="K96" s="292">
        <v>45226</v>
      </c>
    </row>
    <row r="97" spans="2:11" ht="15.75" thickBot="1">
      <c r="B97" s="344" t="s">
        <v>186</v>
      </c>
      <c r="C97" s="345" t="s">
        <v>181</v>
      </c>
      <c r="D97" s="345" t="s">
        <v>229</v>
      </c>
      <c r="E97" s="346">
        <v>45657</v>
      </c>
      <c r="F97" s="347">
        <v>45838</v>
      </c>
      <c r="G97" s="348">
        <v>6.7000000000000004E-2</v>
      </c>
      <c r="H97" s="348">
        <v>0.13900000000000001</v>
      </c>
      <c r="I97" s="348">
        <v>0.22</v>
      </c>
      <c r="J97" s="348">
        <v>0.31</v>
      </c>
      <c r="K97" s="292">
        <v>45226</v>
      </c>
    </row>
    <row r="98" spans="2:11" ht="15.75" thickBot="1">
      <c r="B98" s="344" t="s">
        <v>197</v>
      </c>
      <c r="C98" s="345" t="s">
        <v>198</v>
      </c>
      <c r="D98" s="345" t="s">
        <v>230</v>
      </c>
      <c r="E98" s="346">
        <v>46477</v>
      </c>
      <c r="F98" s="349">
        <v>46660</v>
      </c>
      <c r="G98" s="348">
        <v>6.7000000000000004E-2</v>
      </c>
      <c r="H98" s="348">
        <v>0.13900000000000001</v>
      </c>
      <c r="I98" s="348">
        <v>0.22</v>
      </c>
      <c r="J98" s="348">
        <v>0.31</v>
      </c>
      <c r="K98" s="292">
        <v>45227</v>
      </c>
    </row>
    <row r="99" spans="2:11" ht="15.75" thickBot="1">
      <c r="B99" s="344" t="s">
        <v>197</v>
      </c>
      <c r="C99" s="345" t="s">
        <v>263</v>
      </c>
      <c r="D99" s="345" t="s">
        <v>264</v>
      </c>
      <c r="E99" s="346">
        <v>46477</v>
      </c>
      <c r="F99" s="349">
        <v>46660</v>
      </c>
      <c r="G99" s="348">
        <v>6.7000000000000004E-2</v>
      </c>
      <c r="H99" s="348">
        <v>0.13900000000000001</v>
      </c>
      <c r="I99" s="348">
        <v>0.22</v>
      </c>
      <c r="J99" s="348">
        <v>0.31</v>
      </c>
      <c r="K99" s="292"/>
    </row>
    <row r="100" spans="2:11" ht="15.75" thickBot="1">
      <c r="B100" s="306" t="s">
        <v>184</v>
      </c>
      <c r="C100" s="282" t="s">
        <v>182</v>
      </c>
      <c r="D100" s="282" t="s">
        <v>231</v>
      </c>
      <c r="E100" s="320">
        <v>46022</v>
      </c>
      <c r="F100" s="321">
        <v>46203</v>
      </c>
      <c r="G100" s="285">
        <v>6.8000000000000005E-2</v>
      </c>
      <c r="H100" s="285">
        <v>0.14099999999999999</v>
      </c>
      <c r="I100" s="285">
        <v>0.223</v>
      </c>
      <c r="J100" s="285">
        <v>0.315</v>
      </c>
      <c r="K100" s="292">
        <v>45238</v>
      </c>
    </row>
    <row r="101" spans="2:11" ht="15.75" thickBot="1">
      <c r="B101" s="306" t="s">
        <v>184</v>
      </c>
      <c r="C101" s="282" t="s">
        <v>210</v>
      </c>
      <c r="D101" s="282" t="s">
        <v>232</v>
      </c>
      <c r="E101" s="293">
        <v>45930</v>
      </c>
      <c r="F101" s="294">
        <v>46111</v>
      </c>
      <c r="G101" s="316">
        <v>6.8000000000000005E-2</v>
      </c>
      <c r="H101" s="285">
        <v>0.14099999999999999</v>
      </c>
      <c r="I101" s="285">
        <v>0.223</v>
      </c>
      <c r="J101" s="285">
        <v>0.315</v>
      </c>
      <c r="K101" s="292">
        <v>45238</v>
      </c>
    </row>
    <row r="102" spans="2:11" ht="15.75" thickBot="1">
      <c r="B102" s="306" t="s">
        <v>184</v>
      </c>
      <c r="C102" s="282" t="s">
        <v>271</v>
      </c>
      <c r="D102" s="282" t="s">
        <v>272</v>
      </c>
      <c r="E102" s="375">
        <v>46203</v>
      </c>
      <c r="F102" s="376">
        <v>46386</v>
      </c>
      <c r="G102" s="377">
        <v>8.5000000000000006E-2</v>
      </c>
      <c r="H102" s="285">
        <v>0.14599999999999999</v>
      </c>
      <c r="I102" s="285">
        <v>0.22</v>
      </c>
      <c r="J102" s="285">
        <v>0.3</v>
      </c>
      <c r="K102" s="378">
        <v>45238</v>
      </c>
    </row>
    <row r="103" spans="2:11" ht="15.75" thickBot="1">
      <c r="B103" s="306"/>
      <c r="C103" s="282"/>
      <c r="D103" s="282"/>
      <c r="E103" s="375"/>
      <c r="F103" s="376"/>
      <c r="G103" s="377"/>
      <c r="H103" s="285"/>
      <c r="I103" s="285"/>
      <c r="J103" s="285"/>
      <c r="K103" s="378"/>
    </row>
    <row r="104" spans="2:11" ht="15.75" thickBot="1">
      <c r="B104" s="306"/>
      <c r="C104" s="282"/>
      <c r="D104" s="282"/>
      <c r="E104" s="375"/>
      <c r="F104" s="376"/>
      <c r="G104" s="377"/>
      <c r="H104" s="285"/>
      <c r="I104" s="285"/>
      <c r="J104" s="285"/>
      <c r="K104" s="378"/>
    </row>
    <row r="105" spans="2:11" ht="15.75" thickBot="1">
      <c r="B105" s="306"/>
      <c r="C105" s="282"/>
      <c r="D105" s="282"/>
      <c r="E105" s="375"/>
      <c r="F105" s="376"/>
      <c r="G105" s="377"/>
      <c r="H105" s="285"/>
      <c r="I105" s="285"/>
      <c r="J105" s="285"/>
      <c r="K105" s="378"/>
    </row>
    <row r="106" spans="2:11" ht="15.75" thickBot="1">
      <c r="B106" s="306"/>
      <c r="C106" s="282"/>
      <c r="D106" s="282"/>
      <c r="E106" s="375"/>
      <c r="F106" s="376"/>
      <c r="G106" s="377"/>
      <c r="H106" s="285"/>
      <c r="I106" s="285"/>
      <c r="J106" s="285"/>
      <c r="K106" s="378"/>
    </row>
    <row r="107" spans="2:11" ht="15.75" thickBot="1">
      <c r="B107" s="344" t="s">
        <v>199</v>
      </c>
      <c r="C107" s="345" t="s">
        <v>200</v>
      </c>
      <c r="D107" s="345" t="s">
        <v>233</v>
      </c>
      <c r="E107" s="350">
        <v>45838</v>
      </c>
      <c r="F107" s="349">
        <v>46021</v>
      </c>
      <c r="G107" s="348">
        <v>6.5000000000000002E-2</v>
      </c>
      <c r="H107" s="348">
        <v>0.129</v>
      </c>
      <c r="I107" s="348">
        <v>0.20399999999999999</v>
      </c>
      <c r="J107" s="348">
        <v>0.28899999999999998</v>
      </c>
      <c r="K107" s="292">
        <v>45238</v>
      </c>
    </row>
    <row r="108" spans="2:11" ht="15.75" thickBot="1">
      <c r="B108" s="306" t="s">
        <v>201</v>
      </c>
      <c r="C108" s="282" t="s">
        <v>200</v>
      </c>
      <c r="D108" s="282" t="s">
        <v>234</v>
      </c>
      <c r="E108" s="293">
        <v>45838</v>
      </c>
      <c r="F108" s="294">
        <v>46022</v>
      </c>
      <c r="G108" s="285">
        <v>6.5000000000000002E-2</v>
      </c>
      <c r="H108" s="285">
        <v>0.129</v>
      </c>
      <c r="I108" s="285">
        <v>0.20399999999999999</v>
      </c>
      <c r="J108" s="285">
        <v>0.28899999999999998</v>
      </c>
      <c r="K108" s="295">
        <v>45198</v>
      </c>
    </row>
    <row r="109" spans="2:11" ht="15.75" thickBot="1">
      <c r="B109" s="344" t="s">
        <v>202</v>
      </c>
      <c r="C109" s="345" t="s">
        <v>203</v>
      </c>
      <c r="D109" s="345" t="s">
        <v>235</v>
      </c>
      <c r="E109" s="350">
        <v>45869</v>
      </c>
      <c r="F109" s="349">
        <v>46022</v>
      </c>
      <c r="G109" s="348">
        <v>6.4000000000000001E-2</v>
      </c>
      <c r="H109" s="348">
        <v>0.126</v>
      </c>
      <c r="I109" s="348">
        <v>0.19900000000000001</v>
      </c>
      <c r="J109" s="348">
        <v>0.28100000000000003</v>
      </c>
      <c r="K109" s="292">
        <v>45238</v>
      </c>
    </row>
    <row r="110" spans="2:11" ht="15.75" thickBot="1">
      <c r="B110" s="344" t="s">
        <v>202</v>
      </c>
      <c r="C110" s="345" t="s">
        <v>203</v>
      </c>
      <c r="D110" s="345" t="s">
        <v>235</v>
      </c>
      <c r="E110" s="350">
        <v>45869</v>
      </c>
      <c r="F110" s="349">
        <v>46022</v>
      </c>
      <c r="G110" s="348">
        <v>6.4000000000000001E-2</v>
      </c>
      <c r="H110" s="348">
        <v>0.126</v>
      </c>
      <c r="I110" s="348">
        <v>0.19900000000000001</v>
      </c>
      <c r="J110" s="348">
        <v>0.28100000000000003</v>
      </c>
      <c r="K110" s="292">
        <v>45238</v>
      </c>
    </row>
    <row r="111" spans="2:11" ht="15.75" thickBot="1">
      <c r="B111" s="344"/>
      <c r="C111" s="345"/>
      <c r="D111" s="345"/>
      <c r="E111" s="350"/>
      <c r="F111" s="349"/>
      <c r="G111" s="348"/>
      <c r="H111" s="348"/>
      <c r="I111" s="348"/>
      <c r="J111" s="348"/>
      <c r="K111" s="292"/>
    </row>
    <row r="112" spans="2:11" ht="15.75" thickBot="1">
      <c r="B112" s="351" t="s">
        <v>202</v>
      </c>
      <c r="C112" s="352" t="s">
        <v>204</v>
      </c>
      <c r="D112" s="352" t="s">
        <v>236</v>
      </c>
      <c r="E112" s="353">
        <v>45869</v>
      </c>
      <c r="F112" s="354">
        <v>46022</v>
      </c>
      <c r="G112" s="355">
        <v>6.4000000000000001E-2</v>
      </c>
      <c r="H112" s="355">
        <v>0.126</v>
      </c>
      <c r="I112" s="355">
        <v>0.19900000000000001</v>
      </c>
      <c r="J112" s="355">
        <v>0.28100000000000003</v>
      </c>
      <c r="K112" s="292">
        <v>45238</v>
      </c>
    </row>
  </sheetData>
  <mergeCells count="1">
    <mergeCell ref="B5:L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f49a3db-c138-4c4f-b851-fc749ebe506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F9F89C8C5AC043B62ED2F9C250251A" ma:contentTypeVersion="13" ma:contentTypeDescription="Создание документа." ma:contentTypeScope="" ma:versionID="e4c12a5e39be058df138c6760e0a9254">
  <xsd:schema xmlns:xsd="http://www.w3.org/2001/XMLSchema" xmlns:xs="http://www.w3.org/2001/XMLSchema" xmlns:p="http://schemas.microsoft.com/office/2006/metadata/properties" xmlns:ns3="cf49a3db-c138-4c4f-b851-fc749ebe5066" xmlns:ns4="0cb38ceb-af8a-42e0-a652-502df964befd" targetNamespace="http://schemas.microsoft.com/office/2006/metadata/properties" ma:root="true" ma:fieldsID="5aa2bec9d6849e6ce6374a16b6b71f96" ns3:_="" ns4:_="">
    <xsd:import namespace="cf49a3db-c138-4c4f-b851-fc749ebe5066"/>
    <xsd:import namespace="0cb38ceb-af8a-42e0-a652-502df964be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9a3db-c138-4c4f-b851-fc749ebe5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38ceb-af8a-42e0-a652-502df964bef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2C6378-1063-4DBD-94CF-52E72EF71B10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b38ceb-af8a-42e0-a652-502df964befd"/>
    <ds:schemaRef ds:uri="cf49a3db-c138-4c4f-b851-fc749ebe50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C3BE99A-4A0E-484B-B7EE-132E2CAA8C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9a3db-c138-4c4f-b851-fc749ebe5066"/>
    <ds:schemaRef ds:uri="0cb38ceb-af8a-42e0-a652-502df964be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19FC91-3A03-4700-B4BB-85C52C2FB5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КэшБэк ГК ФСК (с НДФЛ) (2)</vt:lpstr>
      <vt:lpstr>КэшБэк ГК ФСК (с НДФЛ)</vt:lpstr>
      <vt:lpstr>Основной лист заполнения данных</vt:lpstr>
      <vt:lpstr>Итоговый расчет</vt:lpstr>
      <vt:lpstr>Субсидирование</vt:lpstr>
      <vt:lpstr>Субсидирование (Кэшбэк 2.0)</vt:lpstr>
      <vt:lpstr>Без первого взноса (в1 ПВ 0%)</vt:lpstr>
      <vt:lpstr>Справочник</vt:lpstr>
      <vt:lpstr>Объекты и наценки</vt:lpstr>
      <vt:lpstr>Логика расчета</vt:lpstr>
      <vt:lpstr>КэшБэк ГК ФСК (без НДФЛ)</vt:lpstr>
      <vt:lpstr>КэшБэк Нмаркет</vt:lpstr>
      <vt:lpstr>КэшБэк Акбарс</vt:lpstr>
      <vt:lpstr>Сравнительные программы</vt:lpstr>
      <vt:lpstr>Sheet1</vt:lpstr>
      <vt:lpstr>ВТБ</vt:lpstr>
      <vt:lpstr>'Итоговый расчет'!Область_печати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Чурюкина Екатерина Александровна</dc:creator>
  <cp:lastModifiedBy>Сучков Алексей Николаевич</cp:lastModifiedBy>
  <cp:lastPrinted>2024-03-18T15:53:51Z</cp:lastPrinted>
  <dcterms:created xsi:type="dcterms:W3CDTF">2015-06-05T18:17:20Z</dcterms:created>
  <dcterms:modified xsi:type="dcterms:W3CDTF">2025-05-07T07:53:28Z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0x01010072F9F89C8C5AC043B62ED2F9C250251A</vt:lpwstr>
  </property>
</Properties>
</file>